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1355" windowHeight="9210" firstSheet="3" activeTab="3"/>
  </bookViews>
  <sheets>
    <sheet name="2025 год 2 чт   (2)" sheetId="26" state="hidden" r:id="rId1"/>
    <sheet name="2026 год 2 чт  " sheetId="25" state="hidden" r:id="rId2"/>
    <sheet name="2025 год 2 чт  " sheetId="24" state="hidden" r:id="rId3"/>
    <sheet name="2026 год 2 чт  (3)" sheetId="28" r:id="rId4"/>
    <sheet name="2026 год 2 чт  (2)" sheetId="27" state="hidden" r:id="rId5"/>
    <sheet name="2025 год 2 чт " sheetId="21" state="hidden" r:id="rId6"/>
  </sheets>
  <externalReferences>
    <externalReference r:id="rId7"/>
    <externalReference r:id="rId8"/>
    <externalReference r:id="rId9"/>
  </externalReferences>
  <calcPr calcId="145621"/>
</workbook>
</file>

<file path=xl/calcChain.xml><?xml version="1.0" encoding="utf-8"?>
<calcChain xmlns="http://schemas.openxmlformats.org/spreadsheetml/2006/main">
  <c r="C13" i="28"/>
  <c r="D13"/>
  <c r="C12"/>
  <c r="C15"/>
  <c r="C19"/>
  <c r="D15"/>
  <c r="B19"/>
  <c r="J18"/>
  <c r="I18"/>
  <c r="H18"/>
  <c r="G18"/>
  <c r="F18"/>
  <c r="E18"/>
  <c r="K18"/>
  <c r="J17"/>
  <c r="I17"/>
  <c r="H17"/>
  <c r="G17"/>
  <c r="F17"/>
  <c r="E17"/>
  <c r="J16"/>
  <c r="I16"/>
  <c r="H16"/>
  <c r="G16"/>
  <c r="F16"/>
  <c r="E16"/>
  <c r="K16"/>
  <c r="J15"/>
  <c r="I15"/>
  <c r="H15"/>
  <c r="G15"/>
  <c r="F15"/>
  <c r="E15"/>
  <c r="J14"/>
  <c r="I14"/>
  <c r="H14"/>
  <c r="G14"/>
  <c r="F14"/>
  <c r="E14"/>
  <c r="K14"/>
  <c r="J13"/>
  <c r="I13"/>
  <c r="H13"/>
  <c r="G13"/>
  <c r="F13"/>
  <c r="E13"/>
  <c r="J12"/>
  <c r="I12"/>
  <c r="H12"/>
  <c r="G12"/>
  <c r="F12"/>
  <c r="E12"/>
  <c r="J11"/>
  <c r="J19"/>
  <c r="I11"/>
  <c r="I19"/>
  <c r="H11"/>
  <c r="H19"/>
  <c r="G11"/>
  <c r="G19"/>
  <c r="F11"/>
  <c r="F19"/>
  <c r="E11"/>
  <c r="E19"/>
  <c r="I18" i="27"/>
  <c r="I17"/>
  <c r="I16"/>
  <c r="I15"/>
  <c r="I14"/>
  <c r="I13"/>
  <c r="I12"/>
  <c r="I11"/>
  <c r="F18"/>
  <c r="F17"/>
  <c r="F16"/>
  <c r="F15"/>
  <c r="F14"/>
  <c r="F13"/>
  <c r="F12"/>
  <c r="F11"/>
  <c r="J18"/>
  <c r="J17"/>
  <c r="J16"/>
  <c r="J15"/>
  <c r="J14"/>
  <c r="J13"/>
  <c r="J12"/>
  <c r="J11"/>
  <c r="J19"/>
  <c r="H18"/>
  <c r="H17"/>
  <c r="H16"/>
  <c r="H15"/>
  <c r="H14"/>
  <c r="H13"/>
  <c r="H12"/>
  <c r="H11"/>
  <c r="G18"/>
  <c r="G17"/>
  <c r="G16"/>
  <c r="G15"/>
  <c r="G14"/>
  <c r="G13"/>
  <c r="G12"/>
  <c r="G11"/>
  <c r="E18"/>
  <c r="E17"/>
  <c r="E16"/>
  <c r="E15"/>
  <c r="E14"/>
  <c r="E13"/>
  <c r="E12"/>
  <c r="E11"/>
  <c r="C19"/>
  <c r="B19"/>
  <c r="J18" i="21"/>
  <c r="J17"/>
  <c r="J16"/>
  <c r="J15"/>
  <c r="J14"/>
  <c r="J13"/>
  <c r="J12"/>
  <c r="J11"/>
  <c r="I18"/>
  <c r="H18"/>
  <c r="H17"/>
  <c r="G18"/>
  <c r="G17"/>
  <c r="G16"/>
  <c r="G15"/>
  <c r="G14"/>
  <c r="G13"/>
  <c r="G12"/>
  <c r="G11"/>
  <c r="B18" i="26"/>
  <c r="O19"/>
  <c r="J19"/>
  <c r="I19"/>
  <c r="H19"/>
  <c r="G19"/>
  <c r="F19"/>
  <c r="E19"/>
  <c r="C19"/>
  <c r="D12"/>
  <c r="B19"/>
  <c r="K18"/>
  <c r="K17"/>
  <c r="K16"/>
  <c r="K15"/>
  <c r="K14"/>
  <c r="K13"/>
  <c r="K12"/>
  <c r="L11"/>
  <c r="K11"/>
  <c r="K19"/>
  <c r="O19" i="25"/>
  <c r="J19"/>
  <c r="I19"/>
  <c r="H19"/>
  <c r="G19"/>
  <c r="F19"/>
  <c r="E19"/>
  <c r="C19"/>
  <c r="B19"/>
  <c r="D11"/>
  <c r="K18"/>
  <c r="D18"/>
  <c r="K17"/>
  <c r="D17"/>
  <c r="K16"/>
  <c r="D16"/>
  <c r="K15"/>
  <c r="D15"/>
  <c r="Q15"/>
  <c r="K14"/>
  <c r="D14"/>
  <c r="K13"/>
  <c r="D13"/>
  <c r="K12"/>
  <c r="D12"/>
  <c r="K11"/>
  <c r="K19"/>
  <c r="O19" i="24"/>
  <c r="J19"/>
  <c r="I19"/>
  <c r="H19"/>
  <c r="G19"/>
  <c r="F19"/>
  <c r="E19"/>
  <c r="C19"/>
  <c r="D11"/>
  <c r="B19"/>
  <c r="K18"/>
  <c r="D18"/>
  <c r="K17"/>
  <c r="K16"/>
  <c r="K15"/>
  <c r="K14"/>
  <c r="K13"/>
  <c r="K12"/>
  <c r="K11"/>
  <c r="K19"/>
  <c r="I19" i="21"/>
  <c r="F19"/>
  <c r="C19"/>
  <c r="B19"/>
  <c r="L15" i="25"/>
  <c r="N15"/>
  <c r="L11"/>
  <c r="N11"/>
  <c r="L13" i="24"/>
  <c r="N13"/>
  <c r="Q13"/>
  <c r="L15"/>
  <c r="L17"/>
  <c r="N17"/>
  <c r="Q17"/>
  <c r="L11"/>
  <c r="D12"/>
  <c r="D16"/>
  <c r="D14"/>
  <c r="D13"/>
  <c r="D15"/>
  <c r="D17"/>
  <c r="N11"/>
  <c r="L12" i="26"/>
  <c r="N12"/>
  <c r="L14"/>
  <c r="N14"/>
  <c r="Q14"/>
  <c r="L17"/>
  <c r="Q12"/>
  <c r="D15"/>
  <c r="D16"/>
  <c r="D18"/>
  <c r="D17"/>
  <c r="D11"/>
  <c r="D13"/>
  <c r="D14"/>
  <c r="N17"/>
  <c r="N11"/>
  <c r="H16" i="21"/>
  <c r="H15"/>
  <c r="H11"/>
  <c r="H14"/>
  <c r="H13"/>
  <c r="E18"/>
  <c r="K18"/>
  <c r="G19"/>
  <c r="J19"/>
  <c r="D12"/>
  <c r="D11"/>
  <c r="E16"/>
  <c r="E11"/>
  <c r="E19"/>
  <c r="K16"/>
  <c r="E15"/>
  <c r="K15"/>
  <c r="L15"/>
  <c r="E13"/>
  <c r="K13"/>
  <c r="K11"/>
  <c r="K19"/>
  <c r="L13"/>
  <c r="E12"/>
  <c r="K12"/>
  <c r="L12"/>
  <c r="N12"/>
  <c r="O12"/>
  <c r="E14"/>
  <c r="K14"/>
  <c r="E17"/>
  <c r="K17"/>
  <c r="L17"/>
  <c r="L16"/>
  <c r="L18"/>
  <c r="D18" i="27"/>
  <c r="D17"/>
  <c r="D14"/>
  <c r="D12"/>
  <c r="D13"/>
  <c r="D11"/>
  <c r="D16"/>
  <c r="G19"/>
  <c r="K11"/>
  <c r="D15"/>
  <c r="H19"/>
  <c r="E19"/>
  <c r="K16"/>
  <c r="K17"/>
  <c r="I19"/>
  <c r="K15"/>
  <c r="K14"/>
  <c r="K13"/>
  <c r="F19"/>
  <c r="K12"/>
  <c r="K18"/>
  <c r="K19"/>
  <c r="K12" i="28"/>
  <c r="L18" i="27"/>
  <c r="N18"/>
  <c r="Q18"/>
  <c r="L11"/>
  <c r="N11"/>
  <c r="O11"/>
  <c r="L16"/>
  <c r="N16"/>
  <c r="Q16"/>
  <c r="L14"/>
  <c r="N14"/>
  <c r="Q14"/>
  <c r="L15"/>
  <c r="N15"/>
  <c r="O15"/>
  <c r="L17"/>
  <c r="N17"/>
  <c r="O17"/>
  <c r="L12"/>
  <c r="L13"/>
  <c r="N13"/>
  <c r="O13"/>
  <c r="K13" i="28"/>
  <c r="K17"/>
  <c r="K11"/>
  <c r="Q15" i="27"/>
  <c r="O16"/>
  <c r="O18"/>
  <c r="Q13"/>
  <c r="O14"/>
  <c r="Q11"/>
  <c r="D12" i="28"/>
  <c r="D17"/>
  <c r="D16"/>
  <c r="D14"/>
  <c r="D18"/>
  <c r="D11"/>
  <c r="K15"/>
  <c r="Q17" i="27"/>
  <c r="K19" i="28"/>
  <c r="N13" i="21"/>
  <c r="Q11"/>
  <c r="L15" i="28"/>
  <c r="N15"/>
  <c r="L14"/>
  <c r="N14"/>
  <c r="O14"/>
  <c r="L11"/>
  <c r="N11"/>
  <c r="L13"/>
  <c r="N13"/>
  <c r="L17"/>
  <c r="N17"/>
  <c r="L12"/>
  <c r="N12"/>
  <c r="O12"/>
  <c r="L16"/>
  <c r="N16"/>
  <c r="O16"/>
  <c r="Q12"/>
  <c r="N16" i="21"/>
  <c r="O16"/>
  <c r="Q12"/>
  <c r="H19"/>
  <c r="Q11" i="26"/>
  <c r="D14" i="21"/>
  <c r="D16"/>
  <c r="D18"/>
  <c r="D13"/>
  <c r="L12" i="25"/>
  <c r="N12"/>
  <c r="N19"/>
  <c r="L14"/>
  <c r="N14"/>
  <c r="L16"/>
  <c r="N16"/>
  <c r="L18"/>
  <c r="N18"/>
  <c r="Q12"/>
  <c r="Q14"/>
  <c r="Q16"/>
  <c r="Q18"/>
  <c r="Q11"/>
  <c r="L18" i="28"/>
  <c r="N18"/>
  <c r="N12" i="27"/>
  <c r="L11" i="21"/>
  <c r="N11"/>
  <c r="L14"/>
  <c r="N14"/>
  <c r="O14"/>
  <c r="D17"/>
  <c r="D15"/>
  <c r="Q17" i="26"/>
  <c r="N15" i="24"/>
  <c r="Q15"/>
  <c r="L17" i="25"/>
  <c r="N17"/>
  <c r="Q17"/>
  <c r="L13"/>
  <c r="N13"/>
  <c r="Q13"/>
  <c r="L12" i="24"/>
  <c r="N12"/>
  <c r="L14"/>
  <c r="N14"/>
  <c r="Q14"/>
  <c r="L16"/>
  <c r="N16"/>
  <c r="Q16"/>
  <c r="L18"/>
  <c r="N18"/>
  <c r="Q18"/>
  <c r="Q11"/>
  <c r="L13" i="26"/>
  <c r="N13"/>
  <c r="Q13"/>
  <c r="L15"/>
  <c r="N15"/>
  <c r="Q15"/>
  <c r="L16"/>
  <c r="N16"/>
  <c r="Q16"/>
  <c r="L18"/>
  <c r="N18"/>
  <c r="Q18"/>
  <c r="Q14" i="28"/>
  <c r="Q15" i="21"/>
  <c r="O12" i="27"/>
  <c r="O19"/>
  <c r="Q12"/>
  <c r="Q14" i="21"/>
  <c r="N19" i="26"/>
  <c r="O17" i="28"/>
  <c r="Q17"/>
  <c r="O11"/>
  <c r="Q11"/>
  <c r="Q15"/>
  <c r="O15"/>
  <c r="N19" i="24"/>
  <c r="N19" i="21"/>
  <c r="O11"/>
  <c r="O19"/>
  <c r="O18" i="28"/>
  <c r="Q18"/>
  <c r="Q13" i="21"/>
  <c r="Q16"/>
  <c r="Q12" i="24"/>
  <c r="N18" i="21"/>
  <c r="O18"/>
  <c r="Q16" i="28"/>
  <c r="O13"/>
  <c r="Q13"/>
  <c r="N15" i="21"/>
  <c r="N17"/>
  <c r="O17"/>
  <c r="O19" i="28"/>
  <c r="Q17" i="21"/>
  <c r="Q18"/>
</calcChain>
</file>

<file path=xl/sharedStrings.xml><?xml version="1.0" encoding="utf-8"?>
<sst xmlns="http://schemas.openxmlformats.org/spreadsheetml/2006/main" count="148" uniqueCount="38">
  <si>
    <t xml:space="preserve">Воронецкий </t>
  </si>
  <si>
    <t xml:space="preserve">Жерновецкий </t>
  </si>
  <si>
    <t>Ломовецкий</t>
  </si>
  <si>
    <t>Муравльский</t>
  </si>
  <si>
    <t>М.Слободской</t>
  </si>
  <si>
    <t>Никольский</t>
  </si>
  <si>
    <t>Пенновский</t>
  </si>
  <si>
    <t>Троснянский</t>
  </si>
  <si>
    <t>ИТОГО</t>
  </si>
  <si>
    <t>01 Общегосударственые вопросы</t>
  </si>
  <si>
    <t>04 Национальная экономика</t>
  </si>
  <si>
    <t>05 ЖКХ</t>
  </si>
  <si>
    <t>08 Культура</t>
  </si>
  <si>
    <t xml:space="preserve">ИТОГО </t>
  </si>
  <si>
    <t xml:space="preserve">Уровень бюджетной обеспеченности БО 1 </t>
  </si>
  <si>
    <t>Индекс бюджетных расходов  ИБР 1</t>
  </si>
  <si>
    <t>Критерий выравнивания расчетной бюджетной обеспеченности поселений</t>
  </si>
  <si>
    <t>Объем средств, необходимых для достижения поселением уровня бюджетной обеспеченности, установленного в качестве критерия выравнивания бюджетной обеспеченности О 1</t>
  </si>
  <si>
    <t>Налоговые доходы,которые могут быть получены бюджетом поселения в очередном финансовом году Д 1</t>
  </si>
  <si>
    <t>10 Соцобеспечение</t>
  </si>
  <si>
    <t>Уровень бюджетной обеспеченности поселения после распределения дотации на выравнивание бюджетной обеспеченности БО 1</t>
  </si>
  <si>
    <t>Объем средств, необходимых для достижения поселением уровня бюджетной обеспеченности, установленного в качестве критерия выравнивания бюджетной обеспеченности О 2</t>
  </si>
  <si>
    <t>11 Физкультура и спорт</t>
  </si>
  <si>
    <t>Расчет и распределение дотаций на выравнивание бюджетной  обеспеченности поселений из бюджета муниципального района на 2025 год</t>
  </si>
  <si>
    <t>Расчет и распределение дотаций на выравнивание бюджетной  обеспеченности поселений из бюджета муниципального района на 2026 год</t>
  </si>
  <si>
    <t>340.0</t>
  </si>
  <si>
    <t>Налоговые доходы,которые могут быть получены бюджетом поселения в очередном финансовом году ПД 1</t>
  </si>
  <si>
    <t xml:space="preserve"> Р ИТОГО </t>
  </si>
  <si>
    <t>Воронецкое</t>
  </si>
  <si>
    <t>Жерновецкое</t>
  </si>
  <si>
    <t>Ломовецкое</t>
  </si>
  <si>
    <t>Муравльское</t>
  </si>
  <si>
    <t>М.Слободское</t>
  </si>
  <si>
    <t>Никольское</t>
  </si>
  <si>
    <t>Пенновское</t>
  </si>
  <si>
    <t>Троснянское</t>
  </si>
  <si>
    <t>Численность населения на 1.01.2024</t>
  </si>
  <si>
    <t>Численность населения на 1.01.2025</t>
  </si>
</sst>
</file>

<file path=xl/styles.xml><?xml version="1.0" encoding="utf-8"?>
<styleSheet xmlns="http://schemas.openxmlformats.org/spreadsheetml/2006/main">
  <numFmts count="3">
    <numFmt numFmtId="173" formatCode="0.0"/>
    <numFmt numFmtId="174" formatCode="0.000"/>
    <numFmt numFmtId="175" formatCode="0.00000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1A1A1A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textRotation="90"/>
    </xf>
    <xf numFmtId="173" fontId="2" fillId="0" borderId="1" xfId="0" applyNumberFormat="1" applyFont="1" applyBorder="1"/>
    <xf numFmtId="0" fontId="2" fillId="0" borderId="2" xfId="0" applyFont="1" applyFill="1" applyBorder="1"/>
    <xf numFmtId="0" fontId="2" fillId="0" borderId="1" xfId="0" applyFont="1" applyFill="1" applyBorder="1" applyAlignment="1">
      <alignment wrapText="1"/>
    </xf>
    <xf numFmtId="0" fontId="2" fillId="0" borderId="0" xfId="0" applyFont="1" applyBorder="1"/>
    <xf numFmtId="2" fontId="2" fillId="0" borderId="0" xfId="0" applyNumberFormat="1" applyFont="1" applyBorder="1"/>
    <xf numFmtId="174" fontId="2" fillId="0" borderId="1" xfId="0" applyNumberFormat="1" applyFont="1" applyBorder="1"/>
    <xf numFmtId="175" fontId="2" fillId="0" borderId="1" xfId="0" applyNumberFormat="1" applyFont="1" applyBorder="1"/>
    <xf numFmtId="2" fontId="2" fillId="0" borderId="1" xfId="0" applyNumberFormat="1" applyFont="1" applyBorder="1"/>
    <xf numFmtId="0" fontId="4" fillId="2" borderId="3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left" wrapText="1"/>
    </xf>
    <xf numFmtId="0" fontId="2" fillId="2" borderId="1" xfId="0" applyFont="1" applyFill="1" applyBorder="1"/>
    <xf numFmtId="173" fontId="2" fillId="2" borderId="1" xfId="0" applyNumberFormat="1" applyFont="1" applyFill="1" applyBorder="1"/>
    <xf numFmtId="2" fontId="2" fillId="2" borderId="1" xfId="0" applyNumberFormat="1" applyFont="1" applyFill="1" applyBorder="1"/>
    <xf numFmtId="2" fontId="2" fillId="0" borderId="0" xfId="0" applyNumberFormat="1" applyFont="1"/>
    <xf numFmtId="173" fontId="0" fillId="3" borderId="1" xfId="0" applyNumberFormat="1" applyFill="1" applyBorder="1"/>
    <xf numFmtId="0" fontId="2" fillId="3" borderId="1" xfId="0" applyFont="1" applyFill="1" applyBorder="1"/>
    <xf numFmtId="173" fontId="5" fillId="0" borderId="1" xfId="0" applyNumberFormat="1" applyFont="1" applyBorder="1"/>
    <xf numFmtId="0" fontId="5" fillId="0" borderId="0" xfId="0" applyFont="1"/>
    <xf numFmtId="0" fontId="3" fillId="0" borderId="2" xfId="0" applyFont="1" applyFill="1" applyBorder="1"/>
    <xf numFmtId="0" fontId="3" fillId="0" borderId="0" xfId="0" applyFont="1"/>
    <xf numFmtId="173" fontId="2" fillId="0" borderId="1" xfId="0" applyNumberFormat="1" applyFont="1" applyFill="1" applyBorder="1"/>
    <xf numFmtId="0" fontId="2" fillId="0" borderId="1" xfId="0" applyFont="1" applyFill="1" applyBorder="1"/>
    <xf numFmtId="173" fontId="3" fillId="2" borderId="1" xfId="0" applyNumberFormat="1" applyFont="1" applyFill="1" applyBorder="1"/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%20&#1085;&#1086;&#1088;&#1084;&#1072;&#1090;&#1080;&#1074;&#1086;&#1074;%20&#1088;&#1072;&#1089;&#1093;&#1086;&#1076;&#1086;&#1074;%20&#1087;&#1086;%20&#1089;&#1077;&#1083;&#1100;&#1089;&#1082;&#1080;&#1084;%20&#1087;&#1086;&#1089;&#1077;&#1083;&#1077;&#1085;&#1080;&#1103;&#1084;%20&#1085;&#1072;%202025%20&#1075;&#1086;&#1076;&#1099;%202%20&#1095;&#1090;&#1077;&#1085;&#1080;&#107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%20&#1085;&#1086;&#1088;&#1084;&#1072;&#1090;&#1080;&#1074;&#1086;&#1074;%20&#1088;&#1072;&#1089;&#1093;&#1086;&#1076;&#1086;&#1074;%20&#1087;&#1086;%20&#1089;&#1077;&#1083;&#1100;&#1089;&#1082;&#1080;&#1084;%20&#1087;&#1086;&#1089;&#1077;&#1083;&#1077;&#1085;&#1080;&#1103;&#1084;%20&#1085;&#1072;%202025%20&#1075;&#1086;&#1076;&#1099;%202%20&#1095;&#1090;&#1077;&#1085;&#1080;&#1077;%20(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%20&#1085;&#1086;&#1088;&#1084;&#1072;&#1090;&#1080;&#1074;&#1086;&#1074;%20&#1088;&#1072;&#1089;&#1093;&#1086;&#1076;&#1086;&#1074;%20&#1087;&#1086;%20&#1089;&#1077;&#1083;&#1100;&#1089;&#1082;&#1080;&#1084;%20&#1087;&#1086;&#1089;&#1077;&#1083;&#1077;&#1085;&#1080;&#1103;&#1084;%20&#1085;&#1072;%202026%20&#1075;&#1086;&#1076;&#1099;%202%20&#1095;&#1090;&#1077;&#1085;&#1080;&#1077;%20(1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5 год 2 чт "/>
      <sheetName val="2024 год 2 чт  (2)"/>
    </sheetNames>
    <sheetDataSet>
      <sheetData sheetId="0">
        <row r="19">
          <cell r="U19">
            <v>104.25236389684817</v>
          </cell>
          <cell r="AA19">
            <v>172.73553008595991</v>
          </cell>
        </row>
        <row r="20">
          <cell r="U20">
            <v>123.80908439697841</v>
          </cell>
        </row>
        <row r="21">
          <cell r="U21">
            <v>62.130196665798401</v>
          </cell>
          <cell r="AA21">
            <v>102.9433967178953</v>
          </cell>
        </row>
        <row r="22">
          <cell r="U22">
            <v>69.501575931232111</v>
          </cell>
          <cell r="AA22">
            <v>115.1570200573066</v>
          </cell>
        </row>
        <row r="23">
          <cell r="U23">
            <v>68.749394373534784</v>
          </cell>
          <cell r="AA23">
            <v>113.91073196144831</v>
          </cell>
        </row>
        <row r="24">
          <cell r="U24">
            <v>158.55987236259446</v>
          </cell>
          <cell r="AA24">
            <v>262.7175306069289</v>
          </cell>
        </row>
        <row r="25">
          <cell r="U25">
            <v>78.076445688981522</v>
          </cell>
          <cell r="AA25">
            <v>0</v>
          </cell>
        </row>
        <row r="26">
          <cell r="U26">
            <v>489.97106668403239</v>
          </cell>
          <cell r="AA26">
            <v>811.83206564209434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026 год 2 чт "/>
      <sheetName val="2024 год 2 чт  (2)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2026 год 2 чт "/>
      <sheetName val="2024 год 2 чт  (2)"/>
    </sheetNames>
    <sheetDataSet>
      <sheetData sheetId="0">
        <row r="19">
          <cell r="K19">
            <v>1477.9312527261627</v>
          </cell>
          <cell r="P19">
            <v>30.399123266160693</v>
          </cell>
          <cell r="U19">
            <v>129.46305286574196</v>
          </cell>
          <cell r="AA19">
            <v>160.07651138445431</v>
          </cell>
          <cell r="AG19">
            <v>52.981850300968333</v>
          </cell>
          <cell r="AL19">
            <v>4.1134127191834597</v>
          </cell>
        </row>
        <row r="20">
          <cell r="K20">
            <v>1738.7426502660737</v>
          </cell>
          <cell r="P20">
            <v>35.763674430777286</v>
          </cell>
          <cell r="U20">
            <v>152.30947395969642</v>
          </cell>
          <cell r="AA20">
            <v>188.32530751112273</v>
          </cell>
          <cell r="AG20">
            <v>62.331588589374505</v>
          </cell>
          <cell r="AL20">
            <v>4.8393090813923063</v>
          </cell>
        </row>
        <row r="21">
          <cell r="K21">
            <v>884.21425019628384</v>
          </cell>
          <cell r="P21">
            <v>18.187136875163571</v>
          </cell>
          <cell r="U21">
            <v>77.454939806333414</v>
          </cell>
          <cell r="AA21">
            <v>95.770308819680707</v>
          </cell>
          <cell r="AG21">
            <v>31.69789322166972</v>
          </cell>
          <cell r="AL21">
            <v>2.4609657157812093</v>
          </cell>
        </row>
        <row r="22">
          <cell r="K22">
            <v>960.54929337869692</v>
          </cell>
          <cell r="P22">
            <v>19.757249411148916</v>
          </cell>
          <cell r="U22">
            <v>84.14169719968595</v>
          </cell>
          <cell r="AA22">
            <v>104.03824914943731</v>
          </cell>
          <cell r="AG22">
            <v>34.434401989008109</v>
          </cell>
          <cell r="AL22">
            <v>2.673423187647213</v>
          </cell>
        </row>
        <row r="23">
          <cell r="K23">
            <v>964.79012911105315</v>
          </cell>
          <cell r="P23">
            <v>19.844477885370324</v>
          </cell>
          <cell r="U23">
            <v>84.513183721538866</v>
          </cell>
          <cell r="AA23">
            <v>104.49757916775712</v>
          </cell>
          <cell r="AG23">
            <v>34.586430253860243</v>
          </cell>
          <cell r="AL23">
            <v>2.6852263805286576</v>
          </cell>
        </row>
        <row r="24">
          <cell r="K24">
            <v>2211.5958344237988</v>
          </cell>
          <cell r="P24">
            <v>45.48964930646428</v>
          </cell>
          <cell r="U24">
            <v>193.73022114629677</v>
          </cell>
          <cell r="AA24">
            <v>239.54060455378172</v>
          </cell>
          <cell r="AG24">
            <v>79.282740120387331</v>
          </cell>
          <cell r="AL24">
            <v>6.1553650876733847</v>
          </cell>
        </row>
        <row r="25">
          <cell r="K25">
            <v>1083.533529617029</v>
          </cell>
          <cell r="P25">
            <v>22.28687516356975</v>
          </cell>
          <cell r="U25">
            <v>94.914806333420572</v>
          </cell>
          <cell r="AA25">
            <v>117.35881968071185</v>
          </cell>
          <cell r="AG25">
            <v>38.843221669719966</v>
          </cell>
          <cell r="AL25">
            <v>3.0157157812091078</v>
          </cell>
        </row>
        <row r="26">
          <cell r="K26">
            <v>3833.4666666666672</v>
          </cell>
          <cell r="P26">
            <v>141.5718136613452</v>
          </cell>
          <cell r="U26">
            <v>602.92262496728608</v>
          </cell>
          <cell r="AA26">
            <v>745.49261973305408</v>
          </cell>
          <cell r="AG26">
            <v>246.74187385501176</v>
          </cell>
          <cell r="AL26">
            <v>19.156582046584663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2"/>
  <sheetViews>
    <sheetView topLeftCell="A6" zoomScaleNormal="100" workbookViewId="0">
      <pane xSplit="1" ySplit="5" topLeftCell="B11" activePane="bottomRight" state="frozen"/>
      <selection activeCell="A10" sqref="A10"/>
      <selection pane="topRight" activeCell="B10" sqref="B10"/>
      <selection pane="bottomLeft" activeCell="A14" sqref="A14"/>
      <selection pane="bottomRight" activeCell="E11" sqref="E11"/>
    </sheetView>
  </sheetViews>
  <sheetFormatPr defaultRowHeight="12.75"/>
  <cols>
    <col min="1" max="1" width="13.85546875" customWidth="1"/>
    <col min="2" max="2" width="8.28515625" customWidth="1"/>
    <col min="3" max="3" width="10.7109375" customWidth="1"/>
    <col min="5" max="5" width="9.140625" customWidth="1"/>
    <col min="6" max="6" width="6.7109375" customWidth="1"/>
    <col min="8" max="8" width="8" customWidth="1"/>
    <col min="9" max="9" width="6" customWidth="1"/>
    <col min="10" max="10" width="7.85546875" customWidth="1"/>
    <col min="12" max="12" width="11.42578125" customWidth="1"/>
    <col min="13" max="13" width="10" customWidth="1"/>
    <col min="14" max="14" width="13.42578125" customWidth="1"/>
    <col min="15" max="15" width="11.7109375" customWidth="1"/>
    <col min="16" max="16" width="7.42578125" hidden="1" customWidth="1"/>
    <col min="17" max="17" width="12.7109375" customWidth="1"/>
    <col min="18" max="19" width="0" hidden="1" customWidth="1"/>
  </cols>
  <sheetData>
    <row r="1" spans="1:19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10"/>
      <c r="O1" s="9"/>
      <c r="P1" s="9"/>
      <c r="Q1" s="9"/>
      <c r="R1" s="1"/>
      <c r="S1" s="1"/>
    </row>
    <row r="2" spans="1:19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10"/>
      <c r="O2" s="9"/>
      <c r="P2" s="9"/>
      <c r="Q2" s="9"/>
      <c r="R2" s="1"/>
      <c r="S2" s="1"/>
    </row>
    <row r="3" spans="1:19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10"/>
      <c r="O3" s="9"/>
      <c r="P3" s="9"/>
      <c r="Q3" s="9"/>
      <c r="R3" s="1"/>
      <c r="S3" s="1"/>
    </row>
    <row r="4" spans="1:19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0"/>
      <c r="O4" s="9"/>
      <c r="P4" s="9"/>
      <c r="Q4" s="9"/>
      <c r="R4" s="1"/>
      <c r="S4" s="1"/>
    </row>
    <row r="5" spans="1:19" ht="81.7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9"/>
      <c r="P5" s="9"/>
      <c r="Q5" s="9"/>
      <c r="R5" s="1"/>
      <c r="S5" s="1"/>
    </row>
    <row r="6" spans="1:19" ht="12" customHeight="1">
      <c r="A6" s="1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</row>
    <row r="7" spans="1:19" ht="39.75" customHeight="1">
      <c r="A7" s="29" t="s">
        <v>23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1"/>
      <c r="Q7" s="1"/>
      <c r="R7" s="1"/>
      <c r="S7" s="1"/>
    </row>
    <row r="8" spans="1:19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.5" customHeight="1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"/>
      <c r="Q9" s="1"/>
      <c r="R9" s="1"/>
      <c r="S9" s="1"/>
    </row>
    <row r="10" spans="1:19" ht="151.5" customHeight="1">
      <c r="A10" s="3"/>
      <c r="B10" s="4"/>
      <c r="C10" s="4" t="s">
        <v>18</v>
      </c>
      <c r="D10" s="4" t="s">
        <v>14</v>
      </c>
      <c r="E10" s="4" t="s">
        <v>9</v>
      </c>
      <c r="F10" s="4" t="s">
        <v>10</v>
      </c>
      <c r="G10" s="4" t="s">
        <v>11</v>
      </c>
      <c r="H10" s="4" t="s">
        <v>12</v>
      </c>
      <c r="I10" s="4" t="s">
        <v>22</v>
      </c>
      <c r="J10" s="4" t="s">
        <v>19</v>
      </c>
      <c r="K10" s="4" t="s">
        <v>13</v>
      </c>
      <c r="L10" s="4" t="s">
        <v>15</v>
      </c>
      <c r="M10" s="4" t="s">
        <v>16</v>
      </c>
      <c r="N10" s="4" t="s">
        <v>17</v>
      </c>
      <c r="O10" s="4" t="s">
        <v>21</v>
      </c>
      <c r="P10" s="5"/>
      <c r="Q10" s="8" t="s">
        <v>20</v>
      </c>
      <c r="R10" s="1"/>
      <c r="S10" s="1"/>
    </row>
    <row r="11" spans="1:19">
      <c r="A11" s="3" t="s">
        <v>0</v>
      </c>
      <c r="B11" s="3">
        <v>693</v>
      </c>
      <c r="C11" s="3">
        <v>870</v>
      </c>
      <c r="D11" s="3">
        <f>(C11/B11)/(C19/B19)</f>
        <v>0.87748958734320326</v>
      </c>
      <c r="E11" s="16">
        <v>1900</v>
      </c>
      <c r="F11" s="16"/>
      <c r="G11" s="16"/>
      <c r="H11" s="16">
        <v>150</v>
      </c>
      <c r="I11" s="16">
        <v>31</v>
      </c>
      <c r="J11" s="16">
        <v>107.5</v>
      </c>
      <c r="K11" s="3">
        <f t="shared" ref="K11:K17" si="0">SUM(E11:J11)</f>
        <v>2188.5</v>
      </c>
      <c r="L11" s="3">
        <f>(K11/B11)/(K19/B19)</f>
        <v>1.3389358217153877</v>
      </c>
      <c r="M11" s="3">
        <v>1.3919907</v>
      </c>
      <c r="N11" s="13">
        <f>B11*L11*(C19/B19)*(M11-D11)</f>
        <v>683.004177584481</v>
      </c>
      <c r="O11" s="6">
        <v>610.29999999999995</v>
      </c>
      <c r="P11" s="3"/>
      <c r="Q11" s="12">
        <f>D11+N11/(L11*B11*(C19/B19))</f>
        <v>1.3919907</v>
      </c>
      <c r="R11" s="1"/>
      <c r="S11" s="1"/>
    </row>
    <row r="12" spans="1:19">
      <c r="A12" s="3" t="s">
        <v>1</v>
      </c>
      <c r="B12" s="3">
        <v>823</v>
      </c>
      <c r="C12" s="3">
        <v>900</v>
      </c>
      <c r="D12" s="3">
        <f>(C12/B12)/(C19/B19)</f>
        <v>0.76436118996376579</v>
      </c>
      <c r="E12" s="16">
        <v>1600</v>
      </c>
      <c r="F12" s="16">
        <v>0</v>
      </c>
      <c r="G12" s="16">
        <v>0</v>
      </c>
      <c r="H12" s="16">
        <v>0</v>
      </c>
      <c r="I12" s="16">
        <v>0</v>
      </c>
      <c r="J12" s="17">
        <v>85</v>
      </c>
      <c r="K12" s="3">
        <f t="shared" si="0"/>
        <v>1685</v>
      </c>
      <c r="L12" s="3">
        <f>(K12/B12)/(K19/B19)</f>
        <v>0.86805354383174782</v>
      </c>
      <c r="M12" s="3">
        <v>1.3919907</v>
      </c>
      <c r="N12" s="13">
        <f>B12*L12*(C19/B19)*(M12-D12)</f>
        <v>641.49570229167068</v>
      </c>
      <c r="O12" s="6">
        <v>570.4</v>
      </c>
      <c r="P12" s="3"/>
      <c r="Q12" s="12">
        <f>D12+N12/(L12*B12*(C19/B19))</f>
        <v>1.3919907</v>
      </c>
      <c r="R12" s="1"/>
      <c r="S12" s="1"/>
    </row>
    <row r="13" spans="1:19">
      <c r="A13" s="3" t="s">
        <v>2</v>
      </c>
      <c r="B13" s="3">
        <v>413</v>
      </c>
      <c r="C13" s="3">
        <v>790</v>
      </c>
      <c r="D13" s="3">
        <f>(C13/B13)/(C19/B19)</f>
        <v>1.3370048826439105</v>
      </c>
      <c r="E13" s="18">
        <v>1750</v>
      </c>
      <c r="F13" s="18"/>
      <c r="G13" s="18"/>
      <c r="H13" s="18">
        <v>350</v>
      </c>
      <c r="I13" s="18"/>
      <c r="J13" s="18"/>
      <c r="K13" s="3">
        <f t="shared" si="0"/>
        <v>2100</v>
      </c>
      <c r="L13" s="3">
        <f>(K13/B13)/(K19/B19)</f>
        <v>2.155835839380964</v>
      </c>
      <c r="M13" s="3">
        <v>1.3919907</v>
      </c>
      <c r="N13" s="13">
        <f>B13*L13*(C19/B19)*(M13-D13)</f>
        <v>70.042311609817148</v>
      </c>
      <c r="O13" s="6">
        <v>17.8</v>
      </c>
      <c r="P13" s="3"/>
      <c r="Q13" s="12">
        <f>D13+N13/(L13*B13*C19/B19)</f>
        <v>1.3919907</v>
      </c>
      <c r="R13" s="1"/>
      <c r="S13" s="1"/>
    </row>
    <row r="14" spans="1:19" ht="13.5" thickBot="1">
      <c r="A14" s="3" t="s">
        <v>3</v>
      </c>
      <c r="B14" s="3">
        <v>462</v>
      </c>
      <c r="C14" s="16">
        <v>741</v>
      </c>
      <c r="D14" s="3">
        <f>(C14/B14)/(C19/B19)</f>
        <v>1.1210685934850235</v>
      </c>
      <c r="E14" s="16">
        <v>1690</v>
      </c>
      <c r="F14" s="16">
        <v>500</v>
      </c>
      <c r="G14" s="16">
        <v>50</v>
      </c>
      <c r="H14" s="16">
        <v>30</v>
      </c>
      <c r="I14" s="16"/>
      <c r="J14" s="16"/>
      <c r="K14" s="3">
        <f t="shared" si="0"/>
        <v>2270</v>
      </c>
      <c r="L14" s="3">
        <f>(K14/B14)/(K19/B19)</f>
        <v>2.0831969261781564</v>
      </c>
      <c r="M14" s="3">
        <v>1.3919907</v>
      </c>
      <c r="N14" s="13">
        <f>B14*L14*(C19/B19)*(M14-D14)</f>
        <v>373.04462918587512</v>
      </c>
      <c r="O14" s="6">
        <v>230.1</v>
      </c>
      <c r="P14" s="3"/>
      <c r="Q14" s="12">
        <f>D14+N14/(L14*B14*C19/B19)</f>
        <v>1.3919907</v>
      </c>
      <c r="R14" s="1"/>
      <c r="S14" s="1"/>
    </row>
    <row r="15" spans="1:19" ht="13.5" thickBot="1">
      <c r="A15" s="3" t="s">
        <v>4</v>
      </c>
      <c r="B15" s="3">
        <v>457</v>
      </c>
      <c r="C15" s="3">
        <v>1100</v>
      </c>
      <c r="D15" s="3">
        <f>(C15/B15)/(C19/B19)</f>
        <v>1.6824123152788648</v>
      </c>
      <c r="E15" s="14">
        <v>1000</v>
      </c>
      <c r="F15" s="14">
        <v>300</v>
      </c>
      <c r="G15" s="14">
        <v>25</v>
      </c>
      <c r="H15" s="14">
        <v>350</v>
      </c>
      <c r="I15" s="15"/>
      <c r="J15" s="14">
        <v>100</v>
      </c>
      <c r="K15" s="3">
        <f t="shared" si="0"/>
        <v>1775</v>
      </c>
      <c r="L15" s="3">
        <f>(K15/B15)/(K19/B19)</f>
        <v>1.6467535250121914</v>
      </c>
      <c r="M15" s="3">
        <v>1.3919907</v>
      </c>
      <c r="N15" s="13">
        <f>B15*L15*(C19/B19)*(M15-D15)</f>
        <v>-312.69273042799057</v>
      </c>
      <c r="O15" s="6">
        <v>168.7</v>
      </c>
      <c r="P15" s="3"/>
      <c r="Q15" s="12">
        <f>D15+N15/(L15*B15*C19/B19)</f>
        <v>1.3919907</v>
      </c>
      <c r="R15" s="1"/>
      <c r="S15" s="1"/>
    </row>
    <row r="16" spans="1:19" ht="13.5" thickBot="1">
      <c r="A16" s="3" t="s">
        <v>5</v>
      </c>
      <c r="B16" s="3">
        <v>1054</v>
      </c>
      <c r="C16" s="3">
        <v>1010</v>
      </c>
      <c r="D16" s="3">
        <f>(C16/B16)/(C19/B19)</f>
        <v>0.66978700393588553</v>
      </c>
      <c r="E16" s="14">
        <v>699</v>
      </c>
      <c r="F16" s="14">
        <v>10</v>
      </c>
      <c r="G16" s="14">
        <v>28</v>
      </c>
      <c r="H16" s="14">
        <v>200</v>
      </c>
      <c r="I16" s="14">
        <v>3</v>
      </c>
      <c r="J16" s="14">
        <v>70</v>
      </c>
      <c r="K16" s="3">
        <f t="shared" si="0"/>
        <v>1010</v>
      </c>
      <c r="L16" s="3">
        <f>(K16/B16)/(K19/B19)</f>
        <v>0.40628164980617215</v>
      </c>
      <c r="M16" s="3">
        <v>1.3919907</v>
      </c>
      <c r="N16" s="13">
        <f>B16*L16*(C19/B19)*(M16-D16)</f>
        <v>442.45751034718813</v>
      </c>
      <c r="O16" s="6">
        <v>988.5</v>
      </c>
      <c r="P16" s="3"/>
      <c r="Q16" s="12">
        <f>D16+N16/(L16*B16*C19/B19)</f>
        <v>1.3919907</v>
      </c>
      <c r="R16" s="1"/>
      <c r="S16" s="1"/>
    </row>
    <row r="17" spans="1:19" ht="13.5" thickBot="1">
      <c r="A17" s="3" t="s">
        <v>6</v>
      </c>
      <c r="B17" s="3">
        <v>519</v>
      </c>
      <c r="C17" s="3">
        <v>775</v>
      </c>
      <c r="D17" s="3">
        <f>(C17/B17)/(C19/B19)</f>
        <v>1.043735123075656</v>
      </c>
      <c r="E17" s="16">
        <v>1781.9</v>
      </c>
      <c r="F17" s="16"/>
      <c r="G17" s="16"/>
      <c r="H17" s="16"/>
      <c r="I17" s="16"/>
      <c r="J17" s="16">
        <v>88.8</v>
      </c>
      <c r="K17" s="3">
        <f t="shared" si="0"/>
        <v>1870.7</v>
      </c>
      <c r="L17" s="3">
        <f>(K17/B17)/(K19/B19)</f>
        <v>1.5282106883690956</v>
      </c>
      <c r="M17" s="3">
        <v>1.3919907</v>
      </c>
      <c r="N17" s="13">
        <f>B17*L17*(C19/B19)*(M17-D17)</f>
        <v>395.17796178307486</v>
      </c>
      <c r="O17" s="6">
        <v>117.9</v>
      </c>
      <c r="P17" s="3"/>
      <c r="Q17" s="12">
        <f>D17+N17/(L17*B17*C19/B19)</f>
        <v>1.3919907</v>
      </c>
      <c r="R17" s="1"/>
      <c r="S17" s="1"/>
    </row>
    <row r="18" spans="1:19" ht="13.5" thickBot="1">
      <c r="A18" s="3" t="s">
        <v>7</v>
      </c>
      <c r="B18" s="3">
        <f>3257</f>
        <v>3257</v>
      </c>
      <c r="C18" s="3">
        <v>4798.8</v>
      </c>
      <c r="D18" s="3">
        <f>(C18/B18)/(C19/B19)</f>
        <v>1.0298425823769837</v>
      </c>
      <c r="E18" s="14">
        <v>3094</v>
      </c>
      <c r="F18" s="14">
        <v>80</v>
      </c>
      <c r="G18" s="14">
        <v>1796.1</v>
      </c>
      <c r="H18" s="14" t="s">
        <v>25</v>
      </c>
      <c r="I18" s="14">
        <v>40</v>
      </c>
      <c r="J18" s="14">
        <v>200</v>
      </c>
      <c r="K18" s="3">
        <f>SUM(E18:J18)</f>
        <v>5210.1000000000004</v>
      </c>
      <c r="L18" s="3">
        <f>(K18/B18)/(K19/B19)</f>
        <v>0.67822648459601564</v>
      </c>
      <c r="M18" s="3">
        <v>1.3919907</v>
      </c>
      <c r="N18" s="13">
        <f>B18*L18*(C19/B19)*(M18-D18)</f>
        <v>1144.5184076528915</v>
      </c>
      <c r="O18" s="6">
        <v>859.3</v>
      </c>
      <c r="P18" s="3"/>
      <c r="Q18" s="12">
        <f>D18+N18/(L18*B18*C19/B19)</f>
        <v>1.3919907</v>
      </c>
      <c r="R18" s="1"/>
      <c r="S18" s="1"/>
    </row>
    <row r="19" spans="1:19">
      <c r="A19" s="3" t="s">
        <v>8</v>
      </c>
      <c r="B19" s="3">
        <f>SUM(B11:B18)</f>
        <v>7678</v>
      </c>
      <c r="C19" s="3">
        <f>SUM(C11:C18)</f>
        <v>10984.8</v>
      </c>
      <c r="D19" s="3"/>
      <c r="E19" s="3">
        <f t="shared" ref="E19:K19" si="1">SUM(E11:E18)</f>
        <v>13514.9</v>
      </c>
      <c r="F19" s="3">
        <f t="shared" si="1"/>
        <v>890</v>
      </c>
      <c r="G19" s="3">
        <f t="shared" si="1"/>
        <v>1899.1</v>
      </c>
      <c r="H19" s="3">
        <f t="shared" si="1"/>
        <v>1080</v>
      </c>
      <c r="I19" s="3">
        <f t="shared" si="1"/>
        <v>74</v>
      </c>
      <c r="J19" s="3">
        <f t="shared" si="1"/>
        <v>651.29999999999995</v>
      </c>
      <c r="K19" s="3">
        <f t="shared" si="1"/>
        <v>18109.300000000003</v>
      </c>
      <c r="L19" s="3"/>
      <c r="M19" s="3"/>
      <c r="N19" s="11">
        <f>SUM(N11:N18)</f>
        <v>3437.047970027008</v>
      </c>
      <c r="O19" s="6">
        <f>SUM(O11:O18)</f>
        <v>3563</v>
      </c>
      <c r="P19" s="3"/>
      <c r="Q19" s="3"/>
      <c r="R19" s="1"/>
      <c r="S19" s="1"/>
    </row>
    <row r="20" spans="1:19" ht="4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>
        <v>3563</v>
      </c>
      <c r="O20" s="7"/>
      <c r="P20" s="1"/>
      <c r="Q20" s="1"/>
      <c r="R20" s="1"/>
      <c r="S20" s="1"/>
    </row>
    <row r="21" spans="1:1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</sheetData>
  <mergeCells count="2">
    <mergeCell ref="B6:S6"/>
    <mergeCell ref="A7:O7"/>
  </mergeCells>
  <pageMargins left="0.19685039370078741" right="0.19685039370078741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2"/>
  <sheetViews>
    <sheetView topLeftCell="A6" zoomScaleNormal="100" workbookViewId="0">
      <pane xSplit="1" ySplit="5" topLeftCell="E11" activePane="bottomRight" state="frozen"/>
      <selection activeCell="A10" sqref="A10"/>
      <selection pane="topRight" activeCell="B10" sqref="B10"/>
      <selection pane="bottomLeft" activeCell="A14" sqref="A14"/>
      <selection pane="bottomRight" activeCell="O18" sqref="O18"/>
    </sheetView>
  </sheetViews>
  <sheetFormatPr defaultRowHeight="12.75"/>
  <cols>
    <col min="1" max="1" width="13.85546875" customWidth="1"/>
    <col min="2" max="2" width="8.28515625" customWidth="1"/>
    <col min="3" max="3" width="10.7109375" customWidth="1"/>
    <col min="5" max="5" width="9.140625" customWidth="1"/>
    <col min="6" max="6" width="6.7109375" customWidth="1"/>
    <col min="8" max="8" width="8" customWidth="1"/>
    <col min="9" max="9" width="6" customWidth="1"/>
    <col min="10" max="10" width="7.85546875" customWidth="1"/>
    <col min="12" max="12" width="11.42578125" customWidth="1"/>
    <col min="13" max="13" width="10" customWidth="1"/>
    <col min="14" max="14" width="13.42578125" customWidth="1"/>
    <col min="15" max="15" width="11.7109375" customWidth="1"/>
    <col min="16" max="16" width="7.42578125" hidden="1" customWidth="1"/>
    <col min="17" max="17" width="12.7109375" customWidth="1"/>
    <col min="18" max="19" width="0" hidden="1" customWidth="1"/>
  </cols>
  <sheetData>
    <row r="1" spans="1:19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10"/>
      <c r="O1" s="9"/>
      <c r="P1" s="9"/>
      <c r="Q1" s="9"/>
      <c r="R1" s="1"/>
      <c r="S1" s="1"/>
    </row>
    <row r="2" spans="1:19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10"/>
      <c r="O2" s="9"/>
      <c r="P2" s="9"/>
      <c r="Q2" s="9"/>
      <c r="R2" s="1"/>
      <c r="S2" s="1"/>
    </row>
    <row r="3" spans="1:19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10"/>
      <c r="O3" s="9"/>
      <c r="P3" s="9"/>
      <c r="Q3" s="9"/>
      <c r="R3" s="1"/>
      <c r="S3" s="1"/>
    </row>
    <row r="4" spans="1:19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0"/>
      <c r="O4" s="9"/>
      <c r="P4" s="9"/>
      <c r="Q4" s="9"/>
      <c r="R4" s="1"/>
      <c r="S4" s="1"/>
    </row>
    <row r="5" spans="1:19" ht="81.7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9"/>
      <c r="P5" s="9"/>
      <c r="Q5" s="9"/>
      <c r="R5" s="1"/>
      <c r="S5" s="1"/>
    </row>
    <row r="6" spans="1:19" ht="12" customHeight="1">
      <c r="A6" s="1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</row>
    <row r="7" spans="1:19" ht="39.75" customHeight="1">
      <c r="A7" s="29" t="s">
        <v>24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1"/>
      <c r="Q7" s="1"/>
      <c r="R7" s="1"/>
      <c r="S7" s="1"/>
    </row>
    <row r="8" spans="1:19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.5" customHeight="1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"/>
      <c r="Q9" s="1"/>
      <c r="R9" s="1"/>
      <c r="S9" s="1"/>
    </row>
    <row r="10" spans="1:19" ht="151.5" customHeight="1">
      <c r="A10" s="3"/>
      <c r="B10" s="4"/>
      <c r="C10" s="4" t="s">
        <v>18</v>
      </c>
      <c r="D10" s="4" t="s">
        <v>14</v>
      </c>
      <c r="E10" s="4" t="s">
        <v>9</v>
      </c>
      <c r="F10" s="4" t="s">
        <v>10</v>
      </c>
      <c r="G10" s="4" t="s">
        <v>11</v>
      </c>
      <c r="H10" s="4" t="s">
        <v>12</v>
      </c>
      <c r="I10" s="4" t="s">
        <v>22</v>
      </c>
      <c r="J10" s="4" t="s">
        <v>19</v>
      </c>
      <c r="K10" s="4" t="s">
        <v>13</v>
      </c>
      <c r="L10" s="4" t="s">
        <v>15</v>
      </c>
      <c r="M10" s="4" t="s">
        <v>16</v>
      </c>
      <c r="N10" s="4" t="s">
        <v>17</v>
      </c>
      <c r="O10" s="4" t="s">
        <v>21</v>
      </c>
      <c r="P10" s="5"/>
      <c r="Q10" s="8" t="s">
        <v>20</v>
      </c>
      <c r="R10" s="1"/>
      <c r="S10" s="1"/>
    </row>
    <row r="11" spans="1:19">
      <c r="A11" s="3" t="s">
        <v>0</v>
      </c>
      <c r="B11" s="3">
        <v>685</v>
      </c>
      <c r="C11" s="3">
        <v>604.20000000000005</v>
      </c>
      <c r="D11" s="3">
        <f>(C11/B11)/(C19/B19)</f>
        <v>0.78559405846980068</v>
      </c>
      <c r="E11" s="3">
        <v>1318.4</v>
      </c>
      <c r="F11" s="3">
        <v>27.2</v>
      </c>
      <c r="G11" s="3">
        <v>58.73</v>
      </c>
      <c r="H11" s="3">
        <v>344.4</v>
      </c>
      <c r="I11" s="3">
        <v>3.02</v>
      </c>
      <c r="J11" s="3">
        <v>54.76</v>
      </c>
      <c r="K11" s="3">
        <f t="shared" ref="K11:K17" si="0">SUM(E11:J11)</f>
        <v>1806.51</v>
      </c>
      <c r="L11" s="3">
        <f>(K11/B11)/(K19/B19)</f>
        <v>1.3086513096002568</v>
      </c>
      <c r="M11" s="3">
        <v>1.3919907</v>
      </c>
      <c r="N11" s="13">
        <f>B11*L11*(C19/B19)*(M11-D11)</f>
        <v>610.32795457676582</v>
      </c>
      <c r="O11" s="6">
        <v>610.29999999999995</v>
      </c>
      <c r="P11" s="3"/>
      <c r="Q11" s="12">
        <f>D11+N11/(L11*B11*(C19/B19))</f>
        <v>1.3919907</v>
      </c>
      <c r="R11" s="1"/>
      <c r="S11" s="1"/>
    </row>
    <row r="12" spans="1:19">
      <c r="A12" s="3" t="s">
        <v>1</v>
      </c>
      <c r="B12" s="3">
        <v>881</v>
      </c>
      <c r="C12" s="3">
        <v>941</v>
      </c>
      <c r="D12" s="3">
        <f>(C12/B12)/(C19/B19)</f>
        <v>0.95130932916943578</v>
      </c>
      <c r="E12" s="3">
        <v>1695.6</v>
      </c>
      <c r="F12" s="3">
        <v>35</v>
      </c>
      <c r="G12" s="3">
        <v>75.53</v>
      </c>
      <c r="H12" s="3">
        <v>442.94</v>
      </c>
      <c r="I12" s="3">
        <v>3.89</v>
      </c>
      <c r="J12" s="6">
        <v>70.42</v>
      </c>
      <c r="K12" s="3">
        <f t="shared" si="0"/>
        <v>2323.3799999999997</v>
      </c>
      <c r="L12" s="3">
        <f>(K12/B12)/(K19/B19)</f>
        <v>1.308634856234415</v>
      </c>
      <c r="M12" s="3">
        <v>1.3919907</v>
      </c>
      <c r="N12" s="13">
        <f>B12*L12*(C19/B19)*(M12-D12)</f>
        <v>570.44140805017469</v>
      </c>
      <c r="O12" s="6">
        <v>570.4</v>
      </c>
      <c r="P12" s="3"/>
      <c r="Q12" s="12">
        <f>D12+N12/(L12*B12*(C19/B19))</f>
        <v>1.3919907</v>
      </c>
      <c r="R12" s="1"/>
      <c r="S12" s="1"/>
    </row>
    <row r="13" spans="1:19">
      <c r="A13" s="3" t="s">
        <v>2</v>
      </c>
      <c r="B13" s="3">
        <v>415</v>
      </c>
      <c r="C13" s="3">
        <v>635</v>
      </c>
      <c r="D13" s="3">
        <f>(C13/B13)/(C19/B19)</f>
        <v>1.3628048463283182</v>
      </c>
      <c r="E13" s="3">
        <v>798.7</v>
      </c>
      <c r="F13" s="3">
        <v>16.5</v>
      </c>
      <c r="G13" s="3">
        <v>35.58</v>
      </c>
      <c r="H13" s="3">
        <v>208.65</v>
      </c>
      <c r="I13" s="3">
        <v>1.83</v>
      </c>
      <c r="J13" s="3">
        <v>33.17</v>
      </c>
      <c r="K13" s="3">
        <f t="shared" si="0"/>
        <v>1094.43</v>
      </c>
      <c r="L13" s="3">
        <f>(K13/B13)/(K19/B19)</f>
        <v>1.3086214604764166</v>
      </c>
      <c r="M13" s="3">
        <v>1.3919907</v>
      </c>
      <c r="N13" s="13">
        <f>B13*L13*(C19/B19)*(M13-D13)</f>
        <v>17.796167914718129</v>
      </c>
      <c r="O13" s="6">
        <v>17.8</v>
      </c>
      <c r="P13" s="3"/>
      <c r="Q13" s="12">
        <f>D13+N13/(L13*B13*C19/B19)</f>
        <v>1.3919907</v>
      </c>
      <c r="R13" s="1"/>
      <c r="S13" s="1"/>
    </row>
    <row r="14" spans="1:19">
      <c r="A14" s="3" t="s">
        <v>3</v>
      </c>
      <c r="B14" s="3">
        <v>482</v>
      </c>
      <c r="C14" s="3">
        <v>577.5</v>
      </c>
      <c r="D14" s="3">
        <f>(C14/B14)/(C19/B19)</f>
        <v>1.0671193402919612</v>
      </c>
      <c r="E14" s="3">
        <v>927.7</v>
      </c>
      <c r="F14" s="3">
        <v>19.100000000000001</v>
      </c>
      <c r="G14" s="3">
        <v>41.32</v>
      </c>
      <c r="H14" s="3">
        <v>242.34</v>
      </c>
      <c r="I14" s="3">
        <v>2.13</v>
      </c>
      <c r="J14" s="3">
        <v>38.53</v>
      </c>
      <c r="K14" s="3">
        <f t="shared" si="0"/>
        <v>1271.1200000000001</v>
      </c>
      <c r="L14" s="3">
        <f>(K14/B14)/(K19/B19)</f>
        <v>1.3086203193418988</v>
      </c>
      <c r="M14" s="3">
        <v>1.3919907</v>
      </c>
      <c r="N14" s="13">
        <f>B14*L14*(C19/B19)*(M14-D14)</f>
        <v>230.07216701610093</v>
      </c>
      <c r="O14" s="6">
        <v>230.1</v>
      </c>
      <c r="P14" s="3"/>
      <c r="Q14" s="12">
        <f>D14+N14/(L14*B14*C19/B19)</f>
        <v>1.3919907</v>
      </c>
      <c r="R14" s="1"/>
      <c r="S14" s="1"/>
    </row>
    <row r="15" spans="1:19">
      <c r="A15" s="3" t="s">
        <v>4</v>
      </c>
      <c r="B15" s="3">
        <v>762</v>
      </c>
      <c r="C15" s="3">
        <v>1062</v>
      </c>
      <c r="D15" s="3">
        <f>(C15/B15)/(C19/B19)</f>
        <v>1.2413023744441269</v>
      </c>
      <c r="E15" s="6">
        <v>1466.6</v>
      </c>
      <c r="F15" s="3">
        <v>30.3</v>
      </c>
      <c r="G15" s="3">
        <v>65.33</v>
      </c>
      <c r="H15" s="3">
        <v>383.11</v>
      </c>
      <c r="I15" s="3">
        <v>3.36</v>
      </c>
      <c r="J15" s="3">
        <v>60.91</v>
      </c>
      <c r="K15" s="3">
        <f t="shared" si="0"/>
        <v>2009.6099999999997</v>
      </c>
      <c r="L15" s="3">
        <f>(K15/B15)/(K19/B19)</f>
        <v>1.3086724429366237</v>
      </c>
      <c r="M15" s="3">
        <v>1.3919907</v>
      </c>
      <c r="N15" s="13">
        <f>B15*L15*(C19/B19)*(M15-D15)</f>
        <v>168.71647577964805</v>
      </c>
      <c r="O15" s="6">
        <v>168.7</v>
      </c>
      <c r="P15" s="3"/>
      <c r="Q15" s="12">
        <f>D15+N15/(L15*B15*C19/B19)</f>
        <v>1.3919907</v>
      </c>
      <c r="R15" s="1"/>
      <c r="S15" s="1"/>
    </row>
    <row r="16" spans="1:19">
      <c r="A16" s="3" t="s">
        <v>5</v>
      </c>
      <c r="B16" s="3">
        <v>1147</v>
      </c>
      <c r="C16" s="3">
        <v>1037.3</v>
      </c>
      <c r="D16" s="3">
        <f>(C16/B16)/(C19/B19)</f>
        <v>0.80546931583932246</v>
      </c>
      <c r="E16" s="3">
        <v>2207.6</v>
      </c>
      <c r="F16" s="3">
        <v>45.5</v>
      </c>
      <c r="G16" s="3">
        <v>98.34</v>
      </c>
      <c r="H16" s="3">
        <v>576.67999999999995</v>
      </c>
      <c r="I16" s="3">
        <v>5.0599999999999996</v>
      </c>
      <c r="J16" s="3">
        <v>91.69</v>
      </c>
      <c r="K16" s="3">
        <f t="shared" si="0"/>
        <v>3024.87</v>
      </c>
      <c r="L16" s="3">
        <f>(K16/B16)/(K19/B19)</f>
        <v>1.3086317183591376</v>
      </c>
      <c r="M16" s="3">
        <v>1.3919907</v>
      </c>
      <c r="N16" s="13">
        <f>B16*L16*(C19/B19)*(M16-D16)</f>
        <v>988.45447158579213</v>
      </c>
      <c r="O16" s="6">
        <v>988.5</v>
      </c>
      <c r="P16" s="3"/>
      <c r="Q16" s="12">
        <f>D16+N16/(L16*B16*C19/B19)</f>
        <v>1.3919907</v>
      </c>
      <c r="R16" s="1"/>
      <c r="S16" s="1"/>
    </row>
    <row r="17" spans="1:19">
      <c r="A17" s="3" t="s">
        <v>6</v>
      </c>
      <c r="B17" s="3">
        <v>528</v>
      </c>
      <c r="C17" s="3">
        <v>735</v>
      </c>
      <c r="D17" s="3">
        <f>(C17/B17)/(C19/B19)</f>
        <v>1.2398280489480296</v>
      </c>
      <c r="E17" s="3">
        <v>1016.2</v>
      </c>
      <c r="F17" s="3">
        <v>21</v>
      </c>
      <c r="G17" s="3">
        <v>45.27</v>
      </c>
      <c r="H17" s="3">
        <v>265.45999999999998</v>
      </c>
      <c r="I17" s="3">
        <v>0.2</v>
      </c>
      <c r="J17" s="3">
        <v>42.21</v>
      </c>
      <c r="K17" s="3">
        <f t="shared" si="0"/>
        <v>1390.3400000000001</v>
      </c>
      <c r="L17" s="3">
        <f>(K17/B17)/(K19/B19)</f>
        <v>1.3066559207309347</v>
      </c>
      <c r="M17" s="3">
        <v>1.3919907</v>
      </c>
      <c r="N17" s="13">
        <f>B17*L17*(C19/B19)*(M17-D17)</f>
        <v>117.86780301809203</v>
      </c>
      <c r="O17" s="6">
        <v>117.9</v>
      </c>
      <c r="P17" s="3"/>
      <c r="Q17" s="12">
        <f>D17+N17/(L17*B17*C19/B19)</f>
        <v>1.3919907</v>
      </c>
      <c r="R17" s="1"/>
      <c r="S17" s="1"/>
    </row>
    <row r="18" spans="1:19">
      <c r="A18" s="3" t="s">
        <v>7</v>
      </c>
      <c r="B18" s="3">
        <v>3351</v>
      </c>
      <c r="C18" s="3">
        <v>3672</v>
      </c>
      <c r="D18" s="3">
        <f>(C18/B18)/(C19/B19)</f>
        <v>0.9759695891567437</v>
      </c>
      <c r="E18" s="3">
        <v>2749.1</v>
      </c>
      <c r="F18" s="3">
        <v>133</v>
      </c>
      <c r="G18" s="3">
        <v>287.3</v>
      </c>
      <c r="H18" s="6">
        <v>255.41</v>
      </c>
      <c r="I18" s="3">
        <v>14.78</v>
      </c>
      <c r="J18" s="3">
        <v>267.86</v>
      </c>
      <c r="K18" s="3">
        <f>SUM(E18:J18)</f>
        <v>3707.4500000000003</v>
      </c>
      <c r="L18" s="3">
        <f>(K18/B18)/(K19/B19)</f>
        <v>0.54900338285264827</v>
      </c>
      <c r="M18" s="3">
        <v>1.3919907</v>
      </c>
      <c r="N18" s="13">
        <f>B18*L18*(C19/B19)*(M18-D18)</f>
        <v>859.32367463438902</v>
      </c>
      <c r="O18" s="6">
        <v>859.3</v>
      </c>
      <c r="P18" s="3"/>
      <c r="Q18" s="12">
        <f>D18+N18/(L18*B18*C19/B19)</f>
        <v>1.3919907</v>
      </c>
      <c r="R18" s="1"/>
      <c r="S18" s="1"/>
    </row>
    <row r="19" spans="1:19">
      <c r="A19" s="3" t="s">
        <v>8</v>
      </c>
      <c r="B19" s="3">
        <f>SUM(B11:B18)</f>
        <v>8251</v>
      </c>
      <c r="C19" s="3">
        <f>SUM(C11:C18)</f>
        <v>9264</v>
      </c>
      <c r="D19" s="3"/>
      <c r="E19" s="3">
        <f t="shared" ref="E19:K19" si="1">SUM(E11:E18)</f>
        <v>12179.900000000001</v>
      </c>
      <c r="F19" s="3">
        <f t="shared" si="1"/>
        <v>327.60000000000002</v>
      </c>
      <c r="G19" s="3">
        <f t="shared" si="1"/>
        <v>707.39999999999986</v>
      </c>
      <c r="H19" s="3">
        <f t="shared" si="1"/>
        <v>2718.99</v>
      </c>
      <c r="I19" s="3">
        <f t="shared" si="1"/>
        <v>34.269999999999996</v>
      </c>
      <c r="J19" s="3">
        <f t="shared" si="1"/>
        <v>659.55</v>
      </c>
      <c r="K19" s="3">
        <f t="shared" si="1"/>
        <v>16627.71</v>
      </c>
      <c r="L19" s="3"/>
      <c r="M19" s="3"/>
      <c r="N19" s="11">
        <f>SUM(N11:N18)</f>
        <v>3563.000122575681</v>
      </c>
      <c r="O19" s="6">
        <f>SUM(O11:O18)</f>
        <v>3563</v>
      </c>
      <c r="P19" s="3"/>
      <c r="Q19" s="3"/>
      <c r="R19" s="1"/>
      <c r="S19" s="1"/>
    </row>
    <row r="20" spans="1:19" ht="4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>
        <v>3563</v>
      </c>
      <c r="O20" s="7"/>
      <c r="P20" s="1"/>
      <c r="Q20" s="1"/>
      <c r="R20" s="1"/>
      <c r="S20" s="1"/>
    </row>
    <row r="21" spans="1:1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</sheetData>
  <mergeCells count="2">
    <mergeCell ref="B6:S6"/>
    <mergeCell ref="A7:O7"/>
  </mergeCells>
  <pageMargins left="0.19685039370078741" right="0.19685039370078741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S22"/>
  <sheetViews>
    <sheetView topLeftCell="A6" zoomScaleNormal="100" workbookViewId="0">
      <pane xSplit="1" ySplit="5" topLeftCell="E11" activePane="bottomRight" state="frozen"/>
      <selection activeCell="A10" sqref="A10"/>
      <selection pane="topRight" activeCell="B10" sqref="B10"/>
      <selection pane="bottomLeft" activeCell="A14" sqref="A14"/>
      <selection pane="bottomRight" activeCell="N11" sqref="N11"/>
    </sheetView>
  </sheetViews>
  <sheetFormatPr defaultRowHeight="12.75"/>
  <cols>
    <col min="1" max="1" width="13.85546875" customWidth="1"/>
    <col min="2" max="2" width="8.28515625" customWidth="1"/>
    <col min="3" max="3" width="10.7109375" customWidth="1"/>
    <col min="5" max="5" width="9.140625" customWidth="1"/>
    <col min="6" max="6" width="6.7109375" customWidth="1"/>
    <col min="8" max="8" width="8" customWidth="1"/>
    <col min="9" max="9" width="6" customWidth="1"/>
    <col min="10" max="10" width="7.85546875" customWidth="1"/>
    <col min="12" max="12" width="11.42578125" customWidth="1"/>
    <col min="13" max="13" width="10" customWidth="1"/>
    <col min="14" max="14" width="13.42578125" customWidth="1"/>
    <col min="15" max="15" width="11.7109375" customWidth="1"/>
    <col min="16" max="16" width="7.42578125" hidden="1" customWidth="1"/>
    <col min="17" max="17" width="12.7109375" customWidth="1"/>
    <col min="18" max="19" width="0" hidden="1" customWidth="1"/>
  </cols>
  <sheetData>
    <row r="1" spans="1:19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10"/>
      <c r="O1" s="9"/>
      <c r="P1" s="9"/>
      <c r="Q1" s="9"/>
      <c r="R1" s="1"/>
      <c r="S1" s="1"/>
    </row>
    <row r="2" spans="1:19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10"/>
      <c r="O2" s="9"/>
      <c r="P2" s="9"/>
      <c r="Q2" s="9"/>
      <c r="R2" s="1"/>
      <c r="S2" s="1"/>
    </row>
    <row r="3" spans="1:19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10"/>
      <c r="O3" s="9"/>
      <c r="P3" s="9"/>
      <c r="Q3" s="9"/>
      <c r="R3" s="1"/>
      <c r="S3" s="1"/>
    </row>
    <row r="4" spans="1:19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0"/>
      <c r="O4" s="9"/>
      <c r="P4" s="9"/>
      <c r="Q4" s="9"/>
      <c r="R4" s="1"/>
      <c r="S4" s="1"/>
    </row>
    <row r="5" spans="1:19" ht="81.7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9"/>
      <c r="P5" s="9"/>
      <c r="Q5" s="9"/>
      <c r="R5" s="1"/>
      <c r="S5" s="1"/>
    </row>
    <row r="6" spans="1:19" ht="12" customHeight="1">
      <c r="A6" s="1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</row>
    <row r="7" spans="1:19" ht="39.75" customHeight="1">
      <c r="A7" s="29" t="s">
        <v>23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1"/>
      <c r="Q7" s="1"/>
      <c r="R7" s="1"/>
      <c r="S7" s="1"/>
    </row>
    <row r="8" spans="1:19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.5" customHeight="1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"/>
      <c r="Q9" s="1"/>
      <c r="R9" s="1"/>
      <c r="S9" s="1"/>
    </row>
    <row r="10" spans="1:19" ht="151.5" customHeight="1">
      <c r="A10" s="3"/>
      <c r="B10" s="4"/>
      <c r="C10" s="4" t="s">
        <v>18</v>
      </c>
      <c r="D10" s="4" t="s">
        <v>14</v>
      </c>
      <c r="E10" s="4" t="s">
        <v>9</v>
      </c>
      <c r="F10" s="4" t="s">
        <v>10</v>
      </c>
      <c r="G10" s="4" t="s">
        <v>11</v>
      </c>
      <c r="H10" s="4" t="s">
        <v>12</v>
      </c>
      <c r="I10" s="4" t="s">
        <v>22</v>
      </c>
      <c r="J10" s="4" t="s">
        <v>19</v>
      </c>
      <c r="K10" s="4" t="s">
        <v>13</v>
      </c>
      <c r="L10" s="4" t="s">
        <v>15</v>
      </c>
      <c r="M10" s="4" t="s">
        <v>16</v>
      </c>
      <c r="N10" s="4" t="s">
        <v>17</v>
      </c>
      <c r="O10" s="4" t="s">
        <v>21</v>
      </c>
      <c r="P10" s="5"/>
      <c r="Q10" s="8" t="s">
        <v>20</v>
      </c>
      <c r="R10" s="1"/>
      <c r="S10" s="1"/>
    </row>
    <row r="11" spans="1:19">
      <c r="A11" s="3" t="s">
        <v>0</v>
      </c>
      <c r="B11" s="3">
        <v>693</v>
      </c>
      <c r="C11" s="3">
        <v>775.86</v>
      </c>
      <c r="D11" s="3">
        <f>(C11/B11)/(C19/B19)</f>
        <v>0.87127257261261992</v>
      </c>
      <c r="E11" s="3">
        <v>1318.4</v>
      </c>
      <c r="F11" s="3">
        <v>27.2</v>
      </c>
      <c r="G11" s="3">
        <v>58.73</v>
      </c>
      <c r="H11" s="3">
        <v>344.4</v>
      </c>
      <c r="I11" s="3">
        <v>3.02</v>
      </c>
      <c r="J11" s="3">
        <v>54.76</v>
      </c>
      <c r="K11" s="3">
        <f t="shared" ref="K11:K17" si="0">SUM(E11:J11)</f>
        <v>1806.51</v>
      </c>
      <c r="L11" s="3">
        <f>(K11/B11)/(K19/B19)</f>
        <v>1.2037125863708116</v>
      </c>
      <c r="M11" s="3">
        <v>1.3919907</v>
      </c>
      <c r="N11" s="13">
        <f>B11*L11*(C19/B19)*(M11-D11)</f>
        <v>558.15499760724583</v>
      </c>
      <c r="O11" s="6">
        <v>610.29999999999995</v>
      </c>
      <c r="P11" s="3"/>
      <c r="Q11" s="12">
        <f>D11+N11/(L11*B11*(C19/B19))</f>
        <v>1.3919907</v>
      </c>
      <c r="R11" s="1"/>
      <c r="S11" s="1"/>
    </row>
    <row r="12" spans="1:19">
      <c r="A12" s="3" t="s">
        <v>1</v>
      </c>
      <c r="B12" s="3">
        <v>823</v>
      </c>
      <c r="C12" s="3">
        <v>986.44</v>
      </c>
      <c r="D12" s="3">
        <f>(C12/B12)/(C19/B19)</f>
        <v>0.93277039708736487</v>
      </c>
      <c r="E12" s="3">
        <v>1695.6</v>
      </c>
      <c r="F12" s="3">
        <v>35</v>
      </c>
      <c r="G12" s="3">
        <v>75.53</v>
      </c>
      <c r="H12" s="3">
        <v>442.94</v>
      </c>
      <c r="I12" s="3">
        <v>3.89</v>
      </c>
      <c r="J12" s="6">
        <v>70.42</v>
      </c>
      <c r="K12" s="3">
        <f t="shared" si="0"/>
        <v>2323.3799999999997</v>
      </c>
      <c r="L12" s="3">
        <f>(K12/B12)/(K19/B19)</f>
        <v>1.3035751641951079</v>
      </c>
      <c r="M12" s="3">
        <v>1.3919907</v>
      </c>
      <c r="N12" s="13">
        <f>B12*L12*(C19/B19)*(M12-D12)</f>
        <v>633.0719601202585</v>
      </c>
      <c r="O12" s="6">
        <v>570.4</v>
      </c>
      <c r="P12" s="3"/>
      <c r="Q12" s="12">
        <f>D12+N12/(L12*B12*(C19/B19))</f>
        <v>1.3919907</v>
      </c>
      <c r="R12" s="1"/>
      <c r="S12" s="1"/>
    </row>
    <row r="13" spans="1:19">
      <c r="A13" s="3" t="s">
        <v>2</v>
      </c>
      <c r="B13" s="3">
        <v>413</v>
      </c>
      <c r="C13" s="3">
        <v>1144.5</v>
      </c>
      <c r="D13" s="3">
        <f>(C13/B13)/(C19/B19)</f>
        <v>2.1566002969293168</v>
      </c>
      <c r="E13" s="3">
        <v>798.7</v>
      </c>
      <c r="F13" s="3">
        <v>16.5</v>
      </c>
      <c r="G13" s="3">
        <v>35.58</v>
      </c>
      <c r="H13" s="3">
        <v>208.65</v>
      </c>
      <c r="I13" s="3">
        <v>1.83</v>
      </c>
      <c r="J13" s="3">
        <v>33.17</v>
      </c>
      <c r="K13" s="3">
        <f t="shared" si="0"/>
        <v>1094.43</v>
      </c>
      <c r="L13" s="3">
        <f>(K13/B13)/(K19/B19)</f>
        <v>1.2236398267722597</v>
      </c>
      <c r="M13" s="3">
        <v>1.3919907</v>
      </c>
      <c r="N13" s="13">
        <f>B13*L13*(C19/B19)*(M13-D13)</f>
        <v>-496.52313055825346</v>
      </c>
      <c r="O13" s="6">
        <v>17.8</v>
      </c>
      <c r="P13" s="3"/>
      <c r="Q13" s="12">
        <f>D13+N13/(L13*B13*C19/B19)</f>
        <v>1.3919907</v>
      </c>
      <c r="R13" s="1"/>
      <c r="S13" s="1"/>
    </row>
    <row r="14" spans="1:19">
      <c r="A14" s="3" t="s">
        <v>3</v>
      </c>
      <c r="B14" s="3">
        <v>462</v>
      </c>
      <c r="C14" s="3">
        <v>668.19</v>
      </c>
      <c r="D14" s="3">
        <f>(C14/B14)/(C19/B19)</f>
        <v>1.1255425340152088</v>
      </c>
      <c r="E14" s="3">
        <v>927.7</v>
      </c>
      <c r="F14" s="3">
        <v>19.100000000000001</v>
      </c>
      <c r="G14" s="3">
        <v>41.32</v>
      </c>
      <c r="H14" s="3">
        <v>242.34</v>
      </c>
      <c r="I14" s="3">
        <v>2.13</v>
      </c>
      <c r="J14" s="3">
        <v>38.53</v>
      </c>
      <c r="K14" s="3">
        <f t="shared" si="0"/>
        <v>1271.1200000000001</v>
      </c>
      <c r="L14" s="3">
        <f>(K14/B14)/(K19/B19)</f>
        <v>1.2704577966252606</v>
      </c>
      <c r="M14" s="3">
        <v>1.3919907</v>
      </c>
      <c r="N14" s="13">
        <f>B14*L14*(C19/B19)*(M14-D14)</f>
        <v>200.96065532591851</v>
      </c>
      <c r="O14" s="6">
        <v>230.1</v>
      </c>
      <c r="P14" s="3"/>
      <c r="Q14" s="12">
        <f>D14+N14/(L14*B14*C19/B19)</f>
        <v>1.3919907</v>
      </c>
      <c r="R14" s="1"/>
      <c r="S14" s="1"/>
    </row>
    <row r="15" spans="1:19">
      <c r="A15" s="3" t="s">
        <v>4</v>
      </c>
      <c r="B15" s="3">
        <v>457</v>
      </c>
      <c r="C15" s="3">
        <v>1203.3800000000001</v>
      </c>
      <c r="D15" s="3">
        <f>(C15/B15)/(C19/B19)</f>
        <v>2.0492290533770876</v>
      </c>
      <c r="E15" s="6">
        <v>1466.6</v>
      </c>
      <c r="F15" s="3">
        <v>30.3</v>
      </c>
      <c r="G15" s="3">
        <v>65.33</v>
      </c>
      <c r="H15" s="3">
        <v>383.11</v>
      </c>
      <c r="I15" s="3">
        <v>3.36</v>
      </c>
      <c r="J15" s="3">
        <v>60.91</v>
      </c>
      <c r="K15" s="3">
        <f t="shared" si="0"/>
        <v>2009.6099999999997</v>
      </c>
      <c r="L15" s="3">
        <f>(K15/B15)/(K19/B19)</f>
        <v>2.0305385984254296</v>
      </c>
      <c r="M15" s="3">
        <v>1.3919907</v>
      </c>
      <c r="N15" s="13">
        <f>B15*L15*(C19/B19)*(M15-D15)</f>
        <v>-783.69383985965362</v>
      </c>
      <c r="O15" s="6">
        <v>168.7</v>
      </c>
      <c r="P15" s="3"/>
      <c r="Q15" s="12">
        <f>D15+N15/(L15*B15*C19/B19)</f>
        <v>1.3919907000000002</v>
      </c>
      <c r="R15" s="1"/>
      <c r="S15" s="1"/>
    </row>
    <row r="16" spans="1:19">
      <c r="A16" s="3" t="s">
        <v>5</v>
      </c>
      <c r="B16" s="3">
        <v>1054</v>
      </c>
      <c r="C16" s="3">
        <v>341.84</v>
      </c>
      <c r="D16" s="3">
        <f>(C16/B16)/(C19/B19)</f>
        <v>0.25239815982589542</v>
      </c>
      <c r="E16" s="3">
        <v>2207.6</v>
      </c>
      <c r="F16" s="3">
        <v>45.5</v>
      </c>
      <c r="G16" s="3">
        <v>98.34</v>
      </c>
      <c r="H16" s="3">
        <v>576.67999999999995</v>
      </c>
      <c r="I16" s="3">
        <v>5.0599999999999996</v>
      </c>
      <c r="J16" s="3">
        <v>91.69</v>
      </c>
      <c r="K16" s="3">
        <f t="shared" si="0"/>
        <v>3024.87</v>
      </c>
      <c r="L16" s="3">
        <f>(K16/B16)/(K19/B19)</f>
        <v>1.3252010463679054</v>
      </c>
      <c r="M16" s="3">
        <v>1.3919907</v>
      </c>
      <c r="N16" s="13">
        <f>B16*L16*(C19/B19)*(M16-D16)</f>
        <v>2045.352016835571</v>
      </c>
      <c r="O16" s="6">
        <v>988.5</v>
      </c>
      <c r="P16" s="3"/>
      <c r="Q16" s="12">
        <f>D16+N16/(L16*B16*C19/B19)</f>
        <v>1.3919907</v>
      </c>
      <c r="R16" s="1"/>
      <c r="S16" s="1"/>
    </row>
    <row r="17" spans="1:19">
      <c r="A17" s="3" t="s">
        <v>6</v>
      </c>
      <c r="B17" s="3">
        <v>519</v>
      </c>
      <c r="C17" s="3">
        <v>938.45</v>
      </c>
      <c r="D17" s="3">
        <f>(C17/B17)/(C19/B19)</f>
        <v>1.4071736563556796</v>
      </c>
      <c r="E17" s="3">
        <v>1016.2</v>
      </c>
      <c r="F17" s="3">
        <v>21</v>
      </c>
      <c r="G17" s="3">
        <v>45.27</v>
      </c>
      <c r="H17" s="3">
        <v>265.45999999999998</v>
      </c>
      <c r="I17" s="3">
        <v>0.2</v>
      </c>
      <c r="J17" s="3">
        <v>42.21</v>
      </c>
      <c r="K17" s="3">
        <f t="shared" si="0"/>
        <v>1390.3400000000001</v>
      </c>
      <c r="L17" s="3">
        <f>(K17/B17)/(K19/B19)</f>
        <v>1.2369989358791982</v>
      </c>
      <c r="M17" s="3">
        <v>1.3919907</v>
      </c>
      <c r="N17" s="13">
        <f>B17*L17*(C19/B19)*(M17-D17)</f>
        <v>-12.52532813431691</v>
      </c>
      <c r="O17" s="6">
        <v>117.9</v>
      </c>
      <c r="P17" s="3"/>
      <c r="Q17" s="12">
        <f>D17+N17/(L17*B17*C19/B19)</f>
        <v>1.3919907</v>
      </c>
      <c r="R17" s="1"/>
      <c r="S17" s="1"/>
    </row>
    <row r="18" spans="1:19">
      <c r="A18" s="3" t="s">
        <v>7</v>
      </c>
      <c r="B18" s="3">
        <v>3257</v>
      </c>
      <c r="C18" s="3">
        <v>3807.41</v>
      </c>
      <c r="D18" s="3">
        <f>(C18/B18)/(C19/B19)</f>
        <v>0.90973688410540343</v>
      </c>
      <c r="E18" s="3">
        <v>2749.1</v>
      </c>
      <c r="F18" s="3">
        <v>133</v>
      </c>
      <c r="G18" s="3">
        <v>287.3</v>
      </c>
      <c r="H18" s="6">
        <v>255.41</v>
      </c>
      <c r="I18" s="3">
        <v>14.78</v>
      </c>
      <c r="J18" s="3">
        <v>267.86</v>
      </c>
      <c r="K18" s="3">
        <f>SUM(E18:J18)</f>
        <v>3707.4500000000003</v>
      </c>
      <c r="L18" s="3">
        <f>(K18/B18)/(K19/B19)</f>
        <v>0.5256216079033289</v>
      </c>
      <c r="M18" s="3">
        <v>1.3919907</v>
      </c>
      <c r="N18" s="13">
        <f>B18*L18*(C19/B19)*(M18-D18)</f>
        <v>1060.8713633274187</v>
      </c>
      <c r="O18" s="6">
        <v>859.3</v>
      </c>
      <c r="P18" s="3"/>
      <c r="Q18" s="12">
        <f>D18+N18/(L18*B18*C19/B19)</f>
        <v>1.3919907</v>
      </c>
      <c r="R18" s="1"/>
      <c r="S18" s="1"/>
    </row>
    <row r="19" spans="1:19">
      <c r="A19" s="3" t="s">
        <v>8</v>
      </c>
      <c r="B19" s="3">
        <f>SUM(B11:B18)</f>
        <v>7678</v>
      </c>
      <c r="C19" s="3">
        <f>SUM(C11:C18)</f>
        <v>9866.07</v>
      </c>
      <c r="D19" s="3"/>
      <c r="E19" s="3">
        <f t="shared" ref="E19:K19" si="1">SUM(E11:E18)</f>
        <v>12179.900000000001</v>
      </c>
      <c r="F19" s="3">
        <f t="shared" si="1"/>
        <v>327.60000000000002</v>
      </c>
      <c r="G19" s="3">
        <f t="shared" si="1"/>
        <v>707.39999999999986</v>
      </c>
      <c r="H19" s="3">
        <f t="shared" si="1"/>
        <v>2718.99</v>
      </c>
      <c r="I19" s="3">
        <f t="shared" si="1"/>
        <v>34.269999999999996</v>
      </c>
      <c r="J19" s="3">
        <f t="shared" si="1"/>
        <v>659.55</v>
      </c>
      <c r="K19" s="3">
        <f t="shared" si="1"/>
        <v>16627.71</v>
      </c>
      <c r="L19" s="3"/>
      <c r="M19" s="3"/>
      <c r="N19" s="11">
        <f>SUM(N11:N18)</f>
        <v>3205.6686946641885</v>
      </c>
      <c r="O19" s="6">
        <f>SUM(O11:O18)</f>
        <v>3563</v>
      </c>
      <c r="P19" s="3"/>
      <c r="Q19" s="3"/>
      <c r="R19" s="1"/>
      <c r="S19" s="1"/>
    </row>
    <row r="20" spans="1:19" ht="4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>
        <v>3563</v>
      </c>
      <c r="O20" s="7"/>
      <c r="P20" s="1"/>
      <c r="Q20" s="1"/>
      <c r="R20" s="1"/>
      <c r="S20" s="1"/>
    </row>
    <row r="21" spans="1:1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</sheetData>
  <mergeCells count="2">
    <mergeCell ref="B6:S6"/>
    <mergeCell ref="A7:O7"/>
  </mergeCells>
  <pageMargins left="0.19685039370078741" right="0.19685039370078741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2"/>
  <sheetViews>
    <sheetView tabSelected="1" topLeftCell="A6" zoomScale="90" zoomScaleNormal="90" workbookViewId="0">
      <pane xSplit="1" ySplit="5" topLeftCell="B11" activePane="bottomRight" state="frozen"/>
      <selection activeCell="A10" sqref="A10"/>
      <selection pane="topRight" activeCell="B10" sqref="B10"/>
      <selection pane="bottomLeft" activeCell="A14" sqref="A14"/>
      <selection pane="bottomRight" activeCell="M31" sqref="M31:N31"/>
    </sheetView>
  </sheetViews>
  <sheetFormatPr defaultRowHeight="12.75"/>
  <cols>
    <col min="1" max="1" width="15" customWidth="1"/>
    <col min="2" max="2" width="8.28515625" customWidth="1"/>
    <col min="3" max="3" width="10.7109375" customWidth="1"/>
    <col min="4" max="5" width="9.140625" customWidth="1"/>
    <col min="6" max="6" width="6.7109375" customWidth="1"/>
    <col min="7" max="7" width="9.140625" customWidth="1"/>
    <col min="8" max="8" width="8" customWidth="1"/>
    <col min="9" max="9" width="6" customWidth="1"/>
    <col min="10" max="10" width="7.85546875" customWidth="1"/>
    <col min="11" max="11" width="9.140625" customWidth="1"/>
    <col min="12" max="12" width="11.42578125" customWidth="1"/>
    <col min="13" max="13" width="10" customWidth="1"/>
    <col min="14" max="14" width="13.42578125" customWidth="1"/>
    <col min="15" max="15" width="11.7109375" customWidth="1"/>
    <col min="16" max="16" width="7.42578125" customWidth="1"/>
    <col min="17" max="17" width="12.7109375" customWidth="1"/>
    <col min="18" max="19" width="9.140625" customWidth="1"/>
  </cols>
  <sheetData>
    <row r="1" spans="1:19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10"/>
      <c r="O1" s="9"/>
      <c r="P1" s="9"/>
      <c r="Q1" s="9"/>
      <c r="R1" s="1"/>
      <c r="S1" s="1"/>
    </row>
    <row r="2" spans="1:19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10"/>
      <c r="O2" s="9"/>
      <c r="P2" s="9"/>
      <c r="Q2" s="9"/>
      <c r="R2" s="1"/>
      <c r="S2" s="1"/>
    </row>
    <row r="3" spans="1:19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10"/>
      <c r="O3" s="9"/>
      <c r="P3" s="9"/>
      <c r="Q3" s="9"/>
      <c r="R3" s="1"/>
      <c r="S3" s="1"/>
    </row>
    <row r="4" spans="1:19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0"/>
      <c r="O4" s="9"/>
      <c r="P4" s="9"/>
      <c r="Q4" s="9"/>
      <c r="R4" s="1"/>
      <c r="S4" s="1"/>
    </row>
    <row r="5" spans="1:19" ht="81.7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9"/>
      <c r="P5" s="9"/>
      <c r="Q5" s="9"/>
      <c r="R5" s="1"/>
      <c r="S5" s="1"/>
    </row>
    <row r="6" spans="1:19" ht="12" customHeight="1">
      <c r="A6" s="1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</row>
    <row r="7" spans="1:19" ht="39.75" customHeight="1">
      <c r="A7" s="29" t="s">
        <v>24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1"/>
      <c r="Q7" s="1"/>
      <c r="R7" s="1"/>
      <c r="S7" s="1"/>
    </row>
    <row r="8" spans="1:19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.5" customHeight="1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"/>
      <c r="Q9" s="1"/>
      <c r="R9" s="1"/>
      <c r="S9" s="1"/>
    </row>
    <row r="10" spans="1:19" ht="151.5" customHeight="1">
      <c r="A10" s="3"/>
      <c r="B10" s="4" t="s">
        <v>37</v>
      </c>
      <c r="C10" s="4" t="s">
        <v>26</v>
      </c>
      <c r="D10" s="4" t="s">
        <v>14</v>
      </c>
      <c r="E10" s="4" t="s">
        <v>9</v>
      </c>
      <c r="F10" s="8" t="s">
        <v>10</v>
      </c>
      <c r="G10" s="4" t="s">
        <v>11</v>
      </c>
      <c r="H10" s="4" t="s">
        <v>12</v>
      </c>
      <c r="I10" s="4" t="s">
        <v>22</v>
      </c>
      <c r="J10" s="4" t="s">
        <v>19</v>
      </c>
      <c r="K10" s="4" t="s">
        <v>27</v>
      </c>
      <c r="L10" s="4" t="s">
        <v>15</v>
      </c>
      <c r="M10" s="4" t="s">
        <v>16</v>
      </c>
      <c r="N10" s="4" t="s">
        <v>17</v>
      </c>
      <c r="O10" s="4" t="s">
        <v>21</v>
      </c>
      <c r="P10" s="5"/>
      <c r="Q10" s="8" t="s">
        <v>20</v>
      </c>
      <c r="R10" s="1"/>
      <c r="S10" s="1"/>
    </row>
    <row r="11" spans="1:19">
      <c r="A11" s="3" t="s">
        <v>28</v>
      </c>
      <c r="B11" s="3">
        <v>697</v>
      </c>
      <c r="C11" s="3">
        <v>957.3</v>
      </c>
      <c r="D11" s="3">
        <f>(C11/B11)/(C19/B19)</f>
        <v>0.87727351855989644</v>
      </c>
      <c r="E11" s="6">
        <f>'[3]2026 год 2 чт '!$K$19</f>
        <v>1477.9312527261627</v>
      </c>
      <c r="F11" s="26">
        <f>'[3]2026 год 2 чт '!$P$19</f>
        <v>30.399123266160693</v>
      </c>
      <c r="G11" s="6">
        <f>'[3]2026 год 2 чт '!$U$19</f>
        <v>129.46305286574196</v>
      </c>
      <c r="H11" s="6">
        <f>'[3]2026 год 2 чт '!$AA$19</f>
        <v>160.07651138445431</v>
      </c>
      <c r="I11" s="6">
        <f>'[3]2026 год 2 чт '!$AL$19</f>
        <v>4.1134127191834597</v>
      </c>
      <c r="J11" s="20">
        <f>'[3]2026 год 2 чт '!$AG$19</f>
        <v>52.981850300968333</v>
      </c>
      <c r="K11" s="6">
        <f t="shared" ref="K11:K17" si="0">SUM(E11:J11)</f>
        <v>1854.9652032626714</v>
      </c>
      <c r="L11" s="3">
        <f>(K11/B11)/(K19/B19)</f>
        <v>1.1763819363112529</v>
      </c>
      <c r="M11" s="3">
        <v>1.4504878000000001</v>
      </c>
      <c r="N11" s="6">
        <f>B11*L11*(C19/B19)*(M11-D11)</f>
        <v>735.8315217670156</v>
      </c>
      <c r="O11" s="28">
        <f>N11</f>
        <v>735.8315217670156</v>
      </c>
      <c r="P11" s="3"/>
      <c r="Q11" s="12">
        <f>D11+N11/(L11*B11*(C19/B19))</f>
        <v>1.4504878000000001</v>
      </c>
      <c r="R11" s="1"/>
      <c r="S11" s="1"/>
    </row>
    <row r="12" spans="1:19">
      <c r="A12" s="3" t="s">
        <v>29</v>
      </c>
      <c r="B12" s="3">
        <v>820</v>
      </c>
      <c r="C12" s="21">
        <f>1094+136</f>
        <v>1230</v>
      </c>
      <c r="D12" s="3">
        <f>(C12/B12)/(C19/B19)</f>
        <v>0.95810034853689741</v>
      </c>
      <c r="E12" s="6">
        <f>'[3]2026 год 2 чт '!$K$20</f>
        <v>1738.7426502660737</v>
      </c>
      <c r="F12" s="26">
        <f>'[3]2026 год 2 чт '!$P$20</f>
        <v>35.763674430777286</v>
      </c>
      <c r="G12" s="6">
        <f>'[3]2026 год 2 чт '!$U$20</f>
        <v>152.30947395969642</v>
      </c>
      <c r="H12" s="6">
        <f>'[3]2026 год 2 чт '!$AA$20</f>
        <v>188.32530751112273</v>
      </c>
      <c r="I12" s="6">
        <f>'[3]2026 год 2 чт '!$AL$20</f>
        <v>4.8393090813923063</v>
      </c>
      <c r="J12" s="20">
        <f>'[3]2026 год 2 чт '!$AG$20</f>
        <v>62.331588589374505</v>
      </c>
      <c r="K12" s="6">
        <f t="shared" si="0"/>
        <v>2182.3120038384368</v>
      </c>
      <c r="L12" s="3">
        <f>(K12/B12)/(K19/B19)</f>
        <v>1.1763819363112529</v>
      </c>
      <c r="M12" s="3">
        <v>1.4504878000000001</v>
      </c>
      <c r="N12" s="6">
        <f>B12*L12*(C19/B19)*(M12-D12)</f>
        <v>743.61721762866227</v>
      </c>
      <c r="O12" s="28">
        <f t="shared" ref="O12:O18" si="1">N12</f>
        <v>743.61721762866227</v>
      </c>
      <c r="P12" s="3"/>
      <c r="Q12" s="12">
        <f>D12+N12/(L12*B12*(C19/B19))</f>
        <v>1.4504878000000001</v>
      </c>
      <c r="R12" s="1"/>
      <c r="S12" s="1"/>
    </row>
    <row r="13" spans="1:19">
      <c r="A13" s="3" t="s">
        <v>30</v>
      </c>
      <c r="B13" s="3">
        <v>417</v>
      </c>
      <c r="C13" s="21">
        <f>991-136</f>
        <v>855</v>
      </c>
      <c r="D13" s="3">
        <f>(C13/B13)/(C19/B19)</f>
        <v>1.3096335699425217</v>
      </c>
      <c r="E13" s="6">
        <f>'[3]2026 год 2 чт '!$K$21</f>
        <v>884.21425019628384</v>
      </c>
      <c r="F13" s="26">
        <f>'[3]2026 год 2 чт '!$P$21</f>
        <v>18.187136875163571</v>
      </c>
      <c r="G13" s="6">
        <f>'[3]2026 год 2 чт '!$U$21</f>
        <v>77.454939806333414</v>
      </c>
      <c r="H13" s="6">
        <f>'[3]2026 год 2 чт '!$AA$21</f>
        <v>95.770308819680707</v>
      </c>
      <c r="I13" s="6">
        <f>'[3]2026 год 2 чт '!$AL$21</f>
        <v>2.4609657157812093</v>
      </c>
      <c r="J13" s="20">
        <f>'[3]2026 год 2 чт '!$AG$21</f>
        <v>31.69789322166972</v>
      </c>
      <c r="K13" s="6">
        <f t="shared" si="0"/>
        <v>1109.7854946349125</v>
      </c>
      <c r="L13" s="3">
        <f>(K13/B13)/(K19/B19)</f>
        <v>1.1763819363112531</v>
      </c>
      <c r="M13" s="3">
        <v>1.4504878000000001</v>
      </c>
      <c r="N13" s="6">
        <f>B13*L13*(C19/B19)*(M13-D13)</f>
        <v>108.17690628870425</v>
      </c>
      <c r="O13" s="28">
        <f>N13</f>
        <v>108.17690628870425</v>
      </c>
      <c r="P13" s="3"/>
      <c r="Q13" s="12">
        <f>D13+N13/(L13*B13*C19/B19)</f>
        <v>1.4504878000000001</v>
      </c>
      <c r="R13" s="1"/>
      <c r="S13" s="1"/>
    </row>
    <row r="14" spans="1:19">
      <c r="A14" s="3" t="s">
        <v>31</v>
      </c>
      <c r="B14" s="3">
        <v>453</v>
      </c>
      <c r="C14" s="21">
        <v>846</v>
      </c>
      <c r="D14" s="3">
        <f>(C14/B14)/(C19/B19)</f>
        <v>1.192866659105541</v>
      </c>
      <c r="E14" s="6">
        <f>'[3]2026 год 2 чт '!$K$22</f>
        <v>960.54929337869692</v>
      </c>
      <c r="F14" s="26">
        <f>'[3]2026 год 2 чт '!$P$22</f>
        <v>19.757249411148916</v>
      </c>
      <c r="G14" s="6">
        <f>'[3]2026 год 2 чт '!$U$22</f>
        <v>84.14169719968595</v>
      </c>
      <c r="H14" s="6">
        <f>'[3]2026 год 2 чт '!$AA$22</f>
        <v>104.03824914943731</v>
      </c>
      <c r="I14" s="6">
        <f>'[3]2026 год 2 чт '!$AL$22</f>
        <v>2.673423187647213</v>
      </c>
      <c r="J14" s="20">
        <f>'[3]2026 год 2 чт '!$AG$22</f>
        <v>34.434401989008109</v>
      </c>
      <c r="K14" s="6">
        <f t="shared" si="0"/>
        <v>1205.5943143156244</v>
      </c>
      <c r="L14" s="3">
        <f>(K14/B14)/(K19/B19)</f>
        <v>1.1763819363112529</v>
      </c>
      <c r="M14" s="3">
        <v>1.4504878000000001</v>
      </c>
      <c r="N14" s="6">
        <f>B14*L14*(C19/B19)*(M14-D14)</f>
        <v>214.93557783074235</v>
      </c>
      <c r="O14" s="28">
        <f t="shared" si="1"/>
        <v>214.93557783074235</v>
      </c>
      <c r="P14" s="3"/>
      <c r="Q14" s="12">
        <f>D14+N14/(L14*B14*C19/B19)</f>
        <v>1.4504878000000001</v>
      </c>
      <c r="R14" s="1"/>
      <c r="S14" s="1"/>
    </row>
    <row r="15" spans="1:19">
      <c r="A15" s="3" t="s">
        <v>32</v>
      </c>
      <c r="B15" s="3">
        <v>455</v>
      </c>
      <c r="C15" s="3">
        <f>1027-116</f>
        <v>911</v>
      </c>
      <c r="D15" s="3">
        <f>(C15/B15)/(C19/B19)</f>
        <v>1.2788709414170161</v>
      </c>
      <c r="E15" s="6">
        <f>'[3]2026 год 2 чт '!$K$23</f>
        <v>964.79012911105315</v>
      </c>
      <c r="F15" s="26">
        <f>'[3]2026 год 2 чт '!$P$23</f>
        <v>19.844477885370324</v>
      </c>
      <c r="G15" s="6">
        <f>'[3]2026 год 2 чт '!$U$23</f>
        <v>84.513183721538866</v>
      </c>
      <c r="H15" s="6">
        <f>'[3]2026 год 2 чт '!$AA$23</f>
        <v>104.49757916775712</v>
      </c>
      <c r="I15" s="6">
        <f>'[3]2026 год 2 чт '!$AL$23</f>
        <v>2.6852263805286576</v>
      </c>
      <c r="J15" s="20">
        <f>'[3]2026 год 2 чт '!$AG$23</f>
        <v>34.586430253860243</v>
      </c>
      <c r="K15" s="6">
        <f t="shared" si="0"/>
        <v>1210.9170265201083</v>
      </c>
      <c r="L15" s="3">
        <f>(K15/B15)/(K19/B19)</f>
        <v>1.1763819363112529</v>
      </c>
      <c r="M15" s="3">
        <v>1.4504878000000001</v>
      </c>
      <c r="N15" s="6">
        <f>B15*L15*(C19/B19)*(M15-D15)</f>
        <v>143.81359831024628</v>
      </c>
      <c r="O15" s="28">
        <f t="shared" si="1"/>
        <v>143.81359831024628</v>
      </c>
      <c r="P15" s="3"/>
      <c r="Q15" s="12">
        <f>D15+N15/(L15*B15*C19/B19)</f>
        <v>1.4504878000000001</v>
      </c>
      <c r="R15" s="1"/>
      <c r="S15" s="1"/>
    </row>
    <row r="16" spans="1:19">
      <c r="A16" s="3" t="s">
        <v>33</v>
      </c>
      <c r="B16" s="3">
        <v>1043</v>
      </c>
      <c r="C16" s="3">
        <v>945</v>
      </c>
      <c r="D16" s="3">
        <f>(C16/B16)/(C19/B19)</f>
        <v>0.5787183313310118</v>
      </c>
      <c r="E16" s="6">
        <f>'[3]2026 год 2 чт '!$K$24</f>
        <v>2211.5958344237988</v>
      </c>
      <c r="F16" s="26">
        <f>'[3]2026 год 2 чт '!$P$24</f>
        <v>45.48964930646428</v>
      </c>
      <c r="G16" s="6">
        <f>'[3]2026 год 2 чт '!$U$24</f>
        <v>193.73022114629677</v>
      </c>
      <c r="H16" s="6">
        <f>'[3]2026 год 2 чт '!$AA$24</f>
        <v>239.54060455378172</v>
      </c>
      <c r="I16" s="6">
        <f>'[3]2026 год 2 чт '!$AL$24</f>
        <v>6.1553650876733847</v>
      </c>
      <c r="J16" s="20">
        <f>'[3]2026 год 2 чт '!$AG$24</f>
        <v>79.282740120387331</v>
      </c>
      <c r="K16" s="6">
        <f t="shared" si="0"/>
        <v>2775.794414638402</v>
      </c>
      <c r="L16" s="3">
        <f>(K16/B16)/(K19/B19)</f>
        <v>1.1763819363112529</v>
      </c>
      <c r="M16" s="3">
        <v>1.4504878000000001</v>
      </c>
      <c r="N16" s="6">
        <f>B16*L16*(C19/B19)*(M16-D16)</f>
        <v>1674.6134363578637</v>
      </c>
      <c r="O16" s="28">
        <f t="shared" si="1"/>
        <v>1674.6134363578637</v>
      </c>
      <c r="P16" s="3"/>
      <c r="Q16" s="12">
        <f>D16+N16/(L16*B16*C19/B19)</f>
        <v>1.4504878000000001</v>
      </c>
      <c r="R16" s="1"/>
      <c r="S16" s="1"/>
    </row>
    <row r="17" spans="1:19">
      <c r="A17" s="3" t="s">
        <v>34</v>
      </c>
      <c r="B17" s="3">
        <v>511</v>
      </c>
      <c r="C17" s="3">
        <v>871</v>
      </c>
      <c r="D17" s="3">
        <f>(C17/B17)/(C19/B19)</f>
        <v>1.0887219877046805</v>
      </c>
      <c r="E17" s="6">
        <f>'[3]2026 год 2 чт '!$K$25</f>
        <v>1083.533529617029</v>
      </c>
      <c r="F17" s="26">
        <f>'[3]2026 год 2 чт '!$P$25</f>
        <v>22.28687516356975</v>
      </c>
      <c r="G17" s="6">
        <f>'[3]2026 год 2 чт '!$U$25</f>
        <v>94.914806333420572</v>
      </c>
      <c r="H17" s="6">
        <f>'[3]2026 год 2 чт '!$AA$25</f>
        <v>117.35881968071185</v>
      </c>
      <c r="I17" s="6">
        <f>'[3]2026 год 2 чт '!$AL$25</f>
        <v>3.0157157812091078</v>
      </c>
      <c r="J17" s="20">
        <f>'[3]2026 год 2 чт '!$AG$25</f>
        <v>38.843221669719966</v>
      </c>
      <c r="K17" s="6">
        <f t="shared" si="0"/>
        <v>1359.95296824566</v>
      </c>
      <c r="L17" s="3">
        <f>(K17/B17)/(K19/B19)</f>
        <v>1.1763819363112529</v>
      </c>
      <c r="M17" s="3">
        <v>1.4504878000000001</v>
      </c>
      <c r="N17" s="6">
        <f>B17*L17*(C19/B19)*(M17-D17)</f>
        <v>340.46857327528681</v>
      </c>
      <c r="O17" s="28">
        <f t="shared" si="1"/>
        <v>340.46857327528681</v>
      </c>
      <c r="P17" s="3"/>
      <c r="Q17" s="12">
        <f>D17+N17/(L17*B17*C19/B19)</f>
        <v>1.4504878000000001</v>
      </c>
      <c r="R17" s="1"/>
      <c r="S17" s="1"/>
    </row>
    <row r="18" spans="1:19">
      <c r="A18" s="3" t="s">
        <v>35</v>
      </c>
      <c r="B18" s="3">
        <v>3246</v>
      </c>
      <c r="C18" s="3">
        <v>5349</v>
      </c>
      <c r="D18" s="3">
        <f>(C18/B18)/(C19/B19)</f>
        <v>1.0525526318184153</v>
      </c>
      <c r="E18" s="6">
        <f>'[3]2026 год 2 чт '!$K$26</f>
        <v>3833.4666666666672</v>
      </c>
      <c r="F18" s="26">
        <f>'[3]2026 год 2 чт '!$P$26</f>
        <v>141.5718136613452</v>
      </c>
      <c r="G18" s="6">
        <f>'[3]2026 год 2 чт '!$U$26</f>
        <v>602.92262496728608</v>
      </c>
      <c r="H18" s="6">
        <f>'[3]2026 год 2 чт '!$AA$26</f>
        <v>745.49261973305408</v>
      </c>
      <c r="I18" s="6">
        <f>'[3]2026 год 2 чт '!$AL$26</f>
        <v>19.156582046584663</v>
      </c>
      <c r="J18" s="20">
        <f>'[3]2026 год 2 чт '!$AG$26</f>
        <v>246.74187385501176</v>
      </c>
      <c r="K18" s="6">
        <f>SUM(E18:J18)</f>
        <v>5589.3521809299491</v>
      </c>
      <c r="L18" s="3">
        <f>(K18/B18)/(K19/B19)</f>
        <v>0.76112908440410754</v>
      </c>
      <c r="M18" s="3">
        <v>1.4504878000000001</v>
      </c>
      <c r="N18" s="6">
        <f>B18*L18*(C19/B19)*(M18-D18)</f>
        <v>1539.2154583240774</v>
      </c>
      <c r="O18" s="28">
        <f t="shared" si="1"/>
        <v>1539.2154583240774</v>
      </c>
      <c r="P18" s="3"/>
      <c r="Q18" s="12">
        <f>D18+N18/(L18*B18*C19/B19)</f>
        <v>1.4504878000000001</v>
      </c>
      <c r="R18" s="1"/>
      <c r="S18" s="1"/>
    </row>
    <row r="19" spans="1:19">
      <c r="A19" s="3" t="s">
        <v>8</v>
      </c>
      <c r="B19" s="3">
        <f>SUM(B11:B18)</f>
        <v>7642</v>
      </c>
      <c r="C19" s="3">
        <f>SUM(C11:C18)</f>
        <v>11964.3</v>
      </c>
      <c r="D19" s="3"/>
      <c r="E19" s="3">
        <f t="shared" ref="E19:K19" si="2">SUM(E11:E18)</f>
        <v>13154.823606385764</v>
      </c>
      <c r="F19" s="27">
        <f t="shared" si="2"/>
        <v>333.30000000000007</v>
      </c>
      <c r="G19" s="3">
        <f t="shared" si="2"/>
        <v>1419.45</v>
      </c>
      <c r="H19" s="3">
        <f t="shared" si="2"/>
        <v>1755.0999999999997</v>
      </c>
      <c r="I19" s="3">
        <f t="shared" si="2"/>
        <v>45.1</v>
      </c>
      <c r="J19" s="21">
        <f t="shared" si="2"/>
        <v>580.9</v>
      </c>
      <c r="K19" s="3">
        <f t="shared" si="2"/>
        <v>17288.673606385764</v>
      </c>
      <c r="L19" s="3"/>
      <c r="M19" s="3"/>
      <c r="N19" s="6">
        <v>5500.7</v>
      </c>
      <c r="O19" s="28">
        <f>SUM(O11:O18)</f>
        <v>5500.6722897825985</v>
      </c>
      <c r="P19" s="3"/>
      <c r="Q19" s="3"/>
      <c r="R19" s="1"/>
      <c r="S19" s="1"/>
    </row>
    <row r="20" spans="1:19" ht="21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24"/>
      <c r="P20" s="1"/>
      <c r="Q20" s="1"/>
      <c r="R20" s="1"/>
      <c r="S20" s="1"/>
    </row>
    <row r="21" spans="1:1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9"/>
      <c r="O21" s="25"/>
      <c r="P21" s="1"/>
      <c r="Q21" s="1"/>
      <c r="R21" s="1"/>
      <c r="S21" s="1"/>
    </row>
    <row r="22" spans="1:1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25"/>
      <c r="P22" s="1"/>
      <c r="Q22" s="1"/>
      <c r="R22" s="1"/>
      <c r="S22" s="1"/>
    </row>
  </sheetData>
  <mergeCells count="2">
    <mergeCell ref="B6:S6"/>
    <mergeCell ref="A7:O7"/>
  </mergeCells>
  <pageMargins left="0.19685039370078741" right="0.19685039370078741" top="0.98425196850393704" bottom="0.98425196850393704" header="0.51181102362204722" footer="0.51181102362204722"/>
  <pageSetup paperSize="9" scale="7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S22"/>
  <sheetViews>
    <sheetView topLeftCell="A6" zoomScale="90" zoomScaleNormal="90" workbookViewId="0">
      <pane xSplit="1" ySplit="5" topLeftCell="B11" activePane="bottomRight" state="frozen"/>
      <selection activeCell="A10" sqref="A10"/>
      <selection pane="topRight" activeCell="B10" sqref="B10"/>
      <selection pane="bottomLeft" activeCell="A14" sqref="A14"/>
      <selection pane="bottomRight" activeCell="N27" sqref="N27"/>
    </sheetView>
  </sheetViews>
  <sheetFormatPr defaultRowHeight="12.75"/>
  <cols>
    <col min="1" max="1" width="15" customWidth="1"/>
    <col min="2" max="2" width="8.28515625" customWidth="1"/>
    <col min="3" max="3" width="10.7109375" customWidth="1"/>
    <col min="4" max="5" width="9.140625" customWidth="1"/>
    <col min="6" max="6" width="6.7109375" customWidth="1"/>
    <col min="7" max="7" width="9.140625" customWidth="1"/>
    <col min="8" max="8" width="8" customWidth="1"/>
    <col min="9" max="9" width="6" customWidth="1"/>
    <col min="10" max="10" width="7.85546875" customWidth="1"/>
    <col min="11" max="11" width="9.140625" customWidth="1"/>
    <col min="12" max="12" width="11.42578125" customWidth="1"/>
    <col min="13" max="13" width="10" customWidth="1"/>
    <col min="14" max="14" width="13.42578125" customWidth="1"/>
    <col min="15" max="15" width="11.7109375" customWidth="1"/>
    <col min="16" max="16" width="7.42578125" customWidth="1"/>
    <col min="17" max="17" width="12.7109375" customWidth="1"/>
    <col min="18" max="19" width="9.140625" customWidth="1"/>
  </cols>
  <sheetData>
    <row r="1" spans="1:19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10"/>
      <c r="O1" s="9"/>
      <c r="P1" s="9"/>
      <c r="Q1" s="9"/>
      <c r="R1" s="1"/>
      <c r="S1" s="1"/>
    </row>
    <row r="2" spans="1:19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10"/>
      <c r="O2" s="9"/>
      <c r="P2" s="9"/>
      <c r="Q2" s="9"/>
      <c r="R2" s="1"/>
      <c r="S2" s="1"/>
    </row>
    <row r="3" spans="1:19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10"/>
      <c r="O3" s="9"/>
      <c r="P3" s="9"/>
      <c r="Q3" s="9"/>
      <c r="R3" s="1"/>
      <c r="S3" s="1"/>
    </row>
    <row r="4" spans="1:19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0"/>
      <c r="O4" s="9"/>
      <c r="P4" s="9"/>
      <c r="Q4" s="9"/>
      <c r="R4" s="1"/>
      <c r="S4" s="1"/>
    </row>
    <row r="5" spans="1:19" ht="81.7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9"/>
      <c r="P5" s="9"/>
      <c r="Q5" s="9"/>
      <c r="R5" s="1"/>
      <c r="S5" s="1"/>
    </row>
    <row r="6" spans="1:19" ht="12" customHeight="1">
      <c r="A6" s="1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</row>
    <row r="7" spans="1:19" ht="39.75" customHeight="1">
      <c r="A7" s="29" t="s">
        <v>24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1"/>
      <c r="Q7" s="1"/>
      <c r="R7" s="1"/>
      <c r="S7" s="1"/>
    </row>
    <row r="8" spans="1:19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.5" customHeight="1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"/>
      <c r="Q9" s="1"/>
      <c r="R9" s="1"/>
      <c r="S9" s="1"/>
    </row>
    <row r="10" spans="1:19" ht="151.5" customHeight="1">
      <c r="A10" s="3"/>
      <c r="B10" s="4" t="s">
        <v>37</v>
      </c>
      <c r="C10" s="4" t="s">
        <v>26</v>
      </c>
      <c r="D10" s="4" t="s">
        <v>14</v>
      </c>
      <c r="E10" s="4" t="s">
        <v>9</v>
      </c>
      <c r="F10" s="8" t="s">
        <v>10</v>
      </c>
      <c r="G10" s="4" t="s">
        <v>11</v>
      </c>
      <c r="H10" s="4" t="s">
        <v>12</v>
      </c>
      <c r="I10" s="4" t="s">
        <v>22</v>
      </c>
      <c r="J10" s="4" t="s">
        <v>19</v>
      </c>
      <c r="K10" s="4" t="s">
        <v>27</v>
      </c>
      <c r="L10" s="4" t="s">
        <v>15</v>
      </c>
      <c r="M10" s="4" t="s">
        <v>16</v>
      </c>
      <c r="N10" s="4" t="s">
        <v>17</v>
      </c>
      <c r="O10" s="4" t="s">
        <v>21</v>
      </c>
      <c r="P10" s="5"/>
      <c r="Q10" s="8" t="s">
        <v>20</v>
      </c>
      <c r="R10" s="1"/>
      <c r="S10" s="1"/>
    </row>
    <row r="11" spans="1:19">
      <c r="A11" s="3" t="s">
        <v>28</v>
      </c>
      <c r="B11" s="3">
        <v>697</v>
      </c>
      <c r="C11" s="3">
        <v>957.3</v>
      </c>
      <c r="D11" s="3">
        <f>(C11/B11)/(C19/B19)</f>
        <v>0.86884957808218077</v>
      </c>
      <c r="E11" s="6">
        <f>'[3]2026 год 2 чт '!$K$19</f>
        <v>1477.9312527261627</v>
      </c>
      <c r="F11" s="26">
        <f>'[3]2026 год 2 чт '!$P$19</f>
        <v>30.399123266160693</v>
      </c>
      <c r="G11" s="6">
        <f>'[3]2026 год 2 чт '!$U$19</f>
        <v>129.46305286574196</v>
      </c>
      <c r="H11" s="6">
        <f>'[3]2026 год 2 чт '!$AA$19</f>
        <v>160.07651138445431</v>
      </c>
      <c r="I11" s="6">
        <f>'[3]2026 год 2 чт '!$AL$19</f>
        <v>4.1134127191834597</v>
      </c>
      <c r="J11" s="20">
        <f>'[3]2026 год 2 чт '!$AG$19</f>
        <v>52.981850300968333</v>
      </c>
      <c r="K11" s="6">
        <f t="shared" ref="K11:K17" si="0">SUM(E11:J11)</f>
        <v>1854.9652032626714</v>
      </c>
      <c r="L11" s="3">
        <f>(K11/B11)/(K19/B19)</f>
        <v>1.1763819363112529</v>
      </c>
      <c r="M11" s="3">
        <v>1.4489107999999999</v>
      </c>
      <c r="N11" s="6">
        <f>B11*L11*(C19/B19)*(M11-D11)</f>
        <v>751.84037558799128</v>
      </c>
      <c r="O11" s="28">
        <f>N11</f>
        <v>751.84037558799128</v>
      </c>
      <c r="P11" s="3"/>
      <c r="Q11" s="12">
        <f>D11+N11/(L11*B11*(C19/B19))</f>
        <v>1.4489107999999999</v>
      </c>
      <c r="R11" s="1"/>
      <c r="S11" s="1"/>
    </row>
    <row r="12" spans="1:19">
      <c r="A12" s="3" t="s">
        <v>29</v>
      </c>
      <c r="B12" s="3">
        <v>820</v>
      </c>
      <c r="C12" s="21">
        <v>1094</v>
      </c>
      <c r="D12" s="3">
        <f>(C12/B12)/(C19/B19)</f>
        <v>0.84398122078619042</v>
      </c>
      <c r="E12" s="6">
        <f>'[3]2026 год 2 чт '!$K$20</f>
        <v>1738.7426502660737</v>
      </c>
      <c r="F12" s="26">
        <f>'[3]2026 год 2 чт '!$P$20</f>
        <v>35.763674430777286</v>
      </c>
      <c r="G12" s="6">
        <f>'[3]2026 год 2 чт '!$U$20</f>
        <v>152.30947395969642</v>
      </c>
      <c r="H12" s="6">
        <f>'[3]2026 год 2 чт '!$AA$20</f>
        <v>188.32530751112273</v>
      </c>
      <c r="I12" s="6">
        <f>'[3]2026 год 2 чт '!$AL$20</f>
        <v>4.8393090813923063</v>
      </c>
      <c r="J12" s="20">
        <f>'[3]2026 год 2 чт '!$AG$20</f>
        <v>62.331588589374505</v>
      </c>
      <c r="K12" s="6">
        <f t="shared" si="0"/>
        <v>2182.3120038384368</v>
      </c>
      <c r="L12" s="3">
        <f>(K12/B12)/(K19/B19)</f>
        <v>1.1763819363112529</v>
      </c>
      <c r="M12" s="3">
        <v>1.4489107999999999</v>
      </c>
      <c r="N12" s="6">
        <f>B12*L12*(C19/B19)*(M12-D12)</f>
        <v>922.43910663872862</v>
      </c>
      <c r="O12" s="28">
        <f t="shared" ref="O12:O18" si="1">N12</f>
        <v>922.43910663872862</v>
      </c>
      <c r="P12" s="3"/>
      <c r="Q12" s="12">
        <f>D12+N12/(L12*B12*(C19/B19))</f>
        <v>1.4489107999999999</v>
      </c>
      <c r="R12" s="1"/>
      <c r="S12" s="1"/>
    </row>
    <row r="13" spans="1:19">
      <c r="A13" s="3" t="s">
        <v>30</v>
      </c>
      <c r="B13" s="3">
        <v>417</v>
      </c>
      <c r="C13" s="21">
        <v>991</v>
      </c>
      <c r="D13" s="3">
        <f>(C13/B13)/(C19/B19)</f>
        <v>1.5033735782166384</v>
      </c>
      <c r="E13" s="6">
        <f>'[3]2026 год 2 чт '!$K$21</f>
        <v>884.21425019628384</v>
      </c>
      <c r="F13" s="26">
        <f>'[3]2026 год 2 чт '!$P$21</f>
        <v>18.187136875163571</v>
      </c>
      <c r="G13" s="6">
        <f>'[3]2026 год 2 чт '!$U$21</f>
        <v>77.454939806333414</v>
      </c>
      <c r="H13" s="6">
        <f>'[3]2026 год 2 чт '!$AA$21</f>
        <v>95.770308819680707</v>
      </c>
      <c r="I13" s="6">
        <f>'[3]2026 год 2 чт '!$AL$21</f>
        <v>2.4609657157812093</v>
      </c>
      <c r="J13" s="20">
        <f>'[3]2026 год 2 чт '!$AG$21</f>
        <v>31.69789322166972</v>
      </c>
      <c r="K13" s="6">
        <f t="shared" si="0"/>
        <v>1109.7854946349125</v>
      </c>
      <c r="L13" s="3">
        <f>(K13/B13)/(K19/B19)</f>
        <v>1.1763819363112531</v>
      </c>
      <c r="M13" s="3">
        <v>1.4489107999999999</v>
      </c>
      <c r="N13" s="6">
        <f>B13*L13*(C19/B19)*(M13-D13)</f>
        <v>-42.233286628755522</v>
      </c>
      <c r="O13" s="28">
        <f>N13</f>
        <v>-42.233286628755522</v>
      </c>
      <c r="P13" s="3"/>
      <c r="Q13" s="12">
        <f>D13+N13/(L13*B13*C19/B19)</f>
        <v>1.4489107999999999</v>
      </c>
      <c r="R13" s="1"/>
      <c r="S13" s="1"/>
    </row>
    <row r="14" spans="1:19">
      <c r="A14" s="3" t="s">
        <v>31</v>
      </c>
      <c r="B14" s="3">
        <v>453</v>
      </c>
      <c r="C14" s="21">
        <v>846</v>
      </c>
      <c r="D14" s="3">
        <f>(C14/B14)/(C19/B19)</f>
        <v>1.1814122637299094</v>
      </c>
      <c r="E14" s="6">
        <f>'[3]2026 год 2 чт '!$K$22</f>
        <v>960.54929337869692</v>
      </c>
      <c r="F14" s="26">
        <f>'[3]2026 год 2 чт '!$P$22</f>
        <v>19.757249411148916</v>
      </c>
      <c r="G14" s="6">
        <f>'[3]2026 год 2 чт '!$U$22</f>
        <v>84.14169719968595</v>
      </c>
      <c r="H14" s="6">
        <f>'[3]2026 год 2 чт '!$AA$22</f>
        <v>104.03824914943731</v>
      </c>
      <c r="I14" s="6">
        <f>'[3]2026 год 2 чт '!$AL$22</f>
        <v>2.673423187647213</v>
      </c>
      <c r="J14" s="20">
        <f>'[3]2026 год 2 чт '!$AG$22</f>
        <v>34.434401989008109</v>
      </c>
      <c r="K14" s="6">
        <f t="shared" si="0"/>
        <v>1205.5943143156244</v>
      </c>
      <c r="L14" s="3">
        <f>(K14/B14)/(K19/B19)</f>
        <v>1.1763819363112529</v>
      </c>
      <c r="M14" s="3">
        <v>1.4489107999999999</v>
      </c>
      <c r="N14" s="6">
        <f>B14*L14*(C19/B19)*(M14-D14)</f>
        <v>225.34018440305502</v>
      </c>
      <c r="O14" s="28">
        <f t="shared" si="1"/>
        <v>225.34018440305502</v>
      </c>
      <c r="P14" s="3"/>
      <c r="Q14" s="12">
        <f>D14+N14/(L14*B14*C19/B19)</f>
        <v>1.4489107999999999</v>
      </c>
      <c r="R14" s="1"/>
      <c r="S14" s="1"/>
    </row>
    <row r="15" spans="1:19">
      <c r="A15" s="3" t="s">
        <v>32</v>
      </c>
      <c r="B15" s="3">
        <v>455</v>
      </c>
      <c r="C15" s="3">
        <v>1027</v>
      </c>
      <c r="D15" s="3">
        <f>(C15/B15)/(C19/B19)</f>
        <v>1.4278689862243252</v>
      </c>
      <c r="E15" s="6">
        <f>'[3]2026 год 2 чт '!$K$23</f>
        <v>964.79012911105315</v>
      </c>
      <c r="F15" s="26">
        <f>'[3]2026 год 2 чт '!$P$23</f>
        <v>19.844477885370324</v>
      </c>
      <c r="G15" s="6">
        <f>'[3]2026 год 2 чт '!$U$23</f>
        <v>84.513183721538866</v>
      </c>
      <c r="H15" s="6">
        <f>'[3]2026 год 2 чт '!$AA$23</f>
        <v>104.49757916775712</v>
      </c>
      <c r="I15" s="6">
        <f>'[3]2026 год 2 чт '!$AL$23</f>
        <v>2.6852263805286576</v>
      </c>
      <c r="J15" s="20">
        <f>'[3]2026 год 2 чт '!$AG$23</f>
        <v>34.586430253860243</v>
      </c>
      <c r="K15" s="6">
        <f t="shared" si="0"/>
        <v>1210.9170265201083</v>
      </c>
      <c r="L15" s="3">
        <f>(K15/B15)/(K19/B19)</f>
        <v>1.1763819363112529</v>
      </c>
      <c r="M15" s="3">
        <v>1.4489107999999999</v>
      </c>
      <c r="N15" s="6">
        <f>B15*L15*(C19/B19)*(M15-D15)</f>
        <v>17.803836723311424</v>
      </c>
      <c r="O15" s="28">
        <f t="shared" si="1"/>
        <v>17.803836723311424</v>
      </c>
      <c r="P15" s="3"/>
      <c r="Q15" s="12">
        <f>D15+N15/(L15*B15*C19/B19)</f>
        <v>1.4489107999999999</v>
      </c>
      <c r="R15" s="1"/>
      <c r="S15" s="1"/>
    </row>
    <row r="16" spans="1:19">
      <c r="A16" s="3" t="s">
        <v>33</v>
      </c>
      <c r="B16" s="3">
        <v>1043</v>
      </c>
      <c r="C16" s="3">
        <v>945</v>
      </c>
      <c r="D16" s="3">
        <f>(C16/B16)/(C19/B19)</f>
        <v>0.5731612403287687</v>
      </c>
      <c r="E16" s="6">
        <f>'[3]2026 год 2 чт '!$K$24</f>
        <v>2211.5958344237988</v>
      </c>
      <c r="F16" s="26">
        <f>'[3]2026 год 2 чт '!$P$24</f>
        <v>45.48964930646428</v>
      </c>
      <c r="G16" s="6">
        <f>'[3]2026 год 2 чт '!$U$24</f>
        <v>193.73022114629677</v>
      </c>
      <c r="H16" s="6">
        <f>'[3]2026 год 2 чт '!$AA$24</f>
        <v>239.54060455378172</v>
      </c>
      <c r="I16" s="6">
        <f>'[3]2026 год 2 чт '!$AL$24</f>
        <v>6.1553650876733847</v>
      </c>
      <c r="J16" s="20">
        <f>'[3]2026 год 2 чт '!$AG$24</f>
        <v>79.282740120387331</v>
      </c>
      <c r="K16" s="6">
        <f t="shared" si="0"/>
        <v>2775.794414638402</v>
      </c>
      <c r="L16" s="3">
        <f>(K16/B16)/(K19/B19)</f>
        <v>1.1763819363112529</v>
      </c>
      <c r="M16" s="3">
        <v>1.4489107999999999</v>
      </c>
      <c r="N16" s="6">
        <f>B16*L16*(C19/B19)*(M16-D16)</f>
        <v>1698.5692965232547</v>
      </c>
      <c r="O16" s="28">
        <f t="shared" si="1"/>
        <v>1698.5692965232547</v>
      </c>
      <c r="P16" s="3"/>
      <c r="Q16" s="12">
        <f>D16+N16/(L16*B16*C19/B19)</f>
        <v>1.4489107999999999</v>
      </c>
      <c r="R16" s="1"/>
      <c r="S16" s="1"/>
    </row>
    <row r="17" spans="1:19">
      <c r="A17" s="3" t="s">
        <v>34</v>
      </c>
      <c r="B17" s="3">
        <v>511</v>
      </c>
      <c r="C17" s="3">
        <v>871</v>
      </c>
      <c r="D17" s="3">
        <f>(C17/B17)/(C19/B19)</f>
        <v>1.0782676322189937</v>
      </c>
      <c r="E17" s="6">
        <f>'[3]2026 год 2 чт '!$K$25</f>
        <v>1083.533529617029</v>
      </c>
      <c r="F17" s="26">
        <f>'[3]2026 год 2 чт '!$P$25</f>
        <v>22.28687516356975</v>
      </c>
      <c r="G17" s="6">
        <f>'[3]2026 год 2 чт '!$U$25</f>
        <v>94.914806333420572</v>
      </c>
      <c r="H17" s="6">
        <f>'[3]2026 год 2 чт '!$AA$25</f>
        <v>117.35881968071185</v>
      </c>
      <c r="I17" s="6">
        <f>'[3]2026 год 2 чт '!$AL$25</f>
        <v>3.0157157812091078</v>
      </c>
      <c r="J17" s="20">
        <f>'[3]2026 год 2 чт '!$AG$25</f>
        <v>38.843221669719966</v>
      </c>
      <c r="K17" s="6">
        <f t="shared" si="0"/>
        <v>1359.95296824566</v>
      </c>
      <c r="L17" s="3">
        <f>(K17/B17)/(K19/B19)</f>
        <v>1.1763819363112529</v>
      </c>
      <c r="M17" s="3">
        <v>1.4489107999999999</v>
      </c>
      <c r="N17" s="6">
        <f>B17*L17*(C19/B19)*(M17-D17)</f>
        <v>352.20533698047831</v>
      </c>
      <c r="O17" s="28">
        <f t="shared" si="1"/>
        <v>352.20533698047831</v>
      </c>
      <c r="P17" s="3"/>
      <c r="Q17" s="12">
        <f>D17+N17/(L17*B17*C19/B19)</f>
        <v>1.4489107999999999</v>
      </c>
      <c r="R17" s="1"/>
      <c r="S17" s="1"/>
    </row>
    <row r="18" spans="1:19">
      <c r="A18" s="3" t="s">
        <v>35</v>
      </c>
      <c r="B18" s="3">
        <v>3246</v>
      </c>
      <c r="C18" s="3">
        <v>5349</v>
      </c>
      <c r="D18" s="3">
        <f>(C18/B18)/(C19/B19)</f>
        <v>1.042445589336777</v>
      </c>
      <c r="E18" s="6">
        <f>'[3]2026 год 2 чт '!$K$26</f>
        <v>3833.4666666666672</v>
      </c>
      <c r="F18" s="26">
        <f>'[3]2026 год 2 чт '!$P$26</f>
        <v>141.5718136613452</v>
      </c>
      <c r="G18" s="6">
        <f>'[3]2026 год 2 чт '!$U$26</f>
        <v>602.92262496728608</v>
      </c>
      <c r="H18" s="6">
        <f>'[3]2026 год 2 чт '!$AA$26</f>
        <v>745.49261973305408</v>
      </c>
      <c r="I18" s="6">
        <f>'[3]2026 год 2 чт '!$AL$26</f>
        <v>19.156582046584663</v>
      </c>
      <c r="J18" s="20">
        <f>'[3]2026 год 2 чт '!$AG$26</f>
        <v>246.74187385501176</v>
      </c>
      <c r="K18" s="6">
        <f>SUM(E18:J18)</f>
        <v>5589.3521809299491</v>
      </c>
      <c r="L18" s="3">
        <f>(K18/B18)/(K19/B19)</f>
        <v>0.76112908440410754</v>
      </c>
      <c r="M18" s="3">
        <v>1.4489107999999999</v>
      </c>
      <c r="N18" s="6">
        <f>B18*L18*(C19/B19)*(M18-D18)</f>
        <v>1587.4530866424277</v>
      </c>
      <c r="O18" s="28">
        <f t="shared" si="1"/>
        <v>1587.4530866424277</v>
      </c>
      <c r="P18" s="3"/>
      <c r="Q18" s="12">
        <f>D18+N18/(L18*B18*C19/B19)</f>
        <v>1.4489107999999999</v>
      </c>
      <c r="R18" s="1"/>
      <c r="S18" s="1"/>
    </row>
    <row r="19" spans="1:19">
      <c r="A19" s="3" t="s">
        <v>8</v>
      </c>
      <c r="B19" s="3">
        <f>SUM(B11:B18)</f>
        <v>7642</v>
      </c>
      <c r="C19" s="3">
        <f>SUM(C11:C18)</f>
        <v>12080.3</v>
      </c>
      <c r="D19" s="3"/>
      <c r="E19" s="3">
        <f t="shared" ref="E19:K19" si="2">SUM(E11:E18)</f>
        <v>13154.823606385764</v>
      </c>
      <c r="F19" s="27">
        <f t="shared" si="2"/>
        <v>333.30000000000007</v>
      </c>
      <c r="G19" s="3">
        <f t="shared" si="2"/>
        <v>1419.45</v>
      </c>
      <c r="H19" s="3">
        <f t="shared" si="2"/>
        <v>1755.0999999999997</v>
      </c>
      <c r="I19" s="3">
        <f t="shared" si="2"/>
        <v>45.1</v>
      </c>
      <c r="J19" s="21">
        <f t="shared" si="2"/>
        <v>580.9</v>
      </c>
      <c r="K19" s="3">
        <f t="shared" si="2"/>
        <v>17288.673606385764</v>
      </c>
      <c r="L19" s="3"/>
      <c r="M19" s="3"/>
      <c r="N19" s="6">
        <v>5500.7</v>
      </c>
      <c r="O19" s="28">
        <f>SUM(O11:O18)</f>
        <v>5513.4179368704918</v>
      </c>
      <c r="P19" s="3"/>
      <c r="Q19" s="3"/>
      <c r="R19" s="1"/>
      <c r="S19" s="1"/>
    </row>
    <row r="20" spans="1:19" ht="21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24"/>
      <c r="P20" s="1"/>
      <c r="Q20" s="1"/>
      <c r="R20" s="1"/>
      <c r="S20" s="1"/>
    </row>
    <row r="21" spans="1:1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9"/>
      <c r="O21" s="25"/>
      <c r="P21" s="1"/>
      <c r="Q21" s="1"/>
      <c r="R21" s="1"/>
      <c r="S21" s="1"/>
    </row>
    <row r="22" spans="1:1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25"/>
      <c r="P22" s="1"/>
      <c r="Q22" s="1"/>
      <c r="R22" s="1"/>
      <c r="S22" s="1"/>
    </row>
  </sheetData>
  <mergeCells count="2">
    <mergeCell ref="B6:S6"/>
    <mergeCell ref="A7:O7"/>
  </mergeCells>
  <pageMargins left="0.19685039370078741" right="0.19685039370078741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S22"/>
  <sheetViews>
    <sheetView topLeftCell="A6" zoomScale="90" zoomScaleNormal="90" workbookViewId="0">
      <pane xSplit="1" ySplit="5" topLeftCell="B11" activePane="bottomRight" state="frozen"/>
      <selection activeCell="A10" sqref="A10"/>
      <selection pane="topRight" activeCell="B10" sqref="B10"/>
      <selection pane="bottomLeft" activeCell="A14" sqref="A14"/>
      <selection pane="bottomRight" activeCell="N25" sqref="N25"/>
    </sheetView>
  </sheetViews>
  <sheetFormatPr defaultRowHeight="12.75"/>
  <cols>
    <col min="1" max="1" width="15" customWidth="1"/>
    <col min="2" max="2" width="8.28515625" customWidth="1"/>
    <col min="3" max="3" width="10.7109375" customWidth="1"/>
    <col min="5" max="5" width="9.140625" customWidth="1"/>
    <col min="6" max="6" width="6.7109375" customWidth="1"/>
    <col min="7" max="7" width="9.140625" customWidth="1"/>
    <col min="8" max="8" width="8" customWidth="1"/>
    <col min="9" max="9" width="6" customWidth="1"/>
    <col min="10" max="10" width="7.85546875" customWidth="1"/>
    <col min="11" max="11" width="9.140625" customWidth="1"/>
    <col min="12" max="12" width="11.42578125" customWidth="1"/>
    <col min="13" max="13" width="10" customWidth="1"/>
    <col min="14" max="14" width="13.42578125" customWidth="1"/>
    <col min="15" max="15" width="11.7109375" customWidth="1"/>
    <col min="16" max="16" width="7.42578125" hidden="1" customWidth="1"/>
    <col min="17" max="17" width="12.7109375" customWidth="1"/>
    <col min="18" max="19" width="9.140625" customWidth="1"/>
  </cols>
  <sheetData>
    <row r="1" spans="1:19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10"/>
      <c r="O1" s="9"/>
      <c r="P1" s="9"/>
      <c r="Q1" s="9"/>
      <c r="R1" s="1"/>
      <c r="S1" s="1"/>
    </row>
    <row r="2" spans="1:19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10"/>
      <c r="O2" s="9"/>
      <c r="P2" s="9"/>
      <c r="Q2" s="9"/>
      <c r="R2" s="1"/>
      <c r="S2" s="1"/>
    </row>
    <row r="3" spans="1:19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10"/>
      <c r="O3" s="9"/>
      <c r="P3" s="9"/>
      <c r="Q3" s="9"/>
      <c r="R3" s="1"/>
      <c r="S3" s="1"/>
    </row>
    <row r="4" spans="1:19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0"/>
      <c r="O4" s="9"/>
      <c r="P4" s="9"/>
      <c r="Q4" s="9"/>
      <c r="R4" s="1"/>
      <c r="S4" s="1"/>
    </row>
    <row r="5" spans="1:19" ht="81.7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9"/>
      <c r="P5" s="9"/>
      <c r="Q5" s="9"/>
      <c r="R5" s="1"/>
      <c r="S5" s="1"/>
    </row>
    <row r="6" spans="1:19" ht="12" customHeight="1">
      <c r="A6" s="1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</row>
    <row r="7" spans="1:19" ht="39.75" customHeight="1">
      <c r="A7" s="29" t="s">
        <v>23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1"/>
      <c r="Q7" s="1"/>
      <c r="R7" s="1"/>
      <c r="S7" s="1"/>
    </row>
    <row r="8" spans="1:19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.5" customHeight="1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"/>
      <c r="Q9" s="1"/>
      <c r="R9" s="1"/>
      <c r="S9" s="1"/>
    </row>
    <row r="10" spans="1:19" ht="151.5" customHeight="1">
      <c r="A10" s="3"/>
      <c r="B10" s="4" t="s">
        <v>36</v>
      </c>
      <c r="C10" s="4" t="s">
        <v>26</v>
      </c>
      <c r="D10" s="4" t="s">
        <v>14</v>
      </c>
      <c r="E10" s="4" t="s">
        <v>9</v>
      </c>
      <c r="F10" s="4" t="s">
        <v>10</v>
      </c>
      <c r="G10" s="4" t="s">
        <v>11</v>
      </c>
      <c r="H10" s="4" t="s">
        <v>12</v>
      </c>
      <c r="I10" s="4" t="s">
        <v>22</v>
      </c>
      <c r="J10" s="4" t="s">
        <v>19</v>
      </c>
      <c r="K10" s="4" t="s">
        <v>27</v>
      </c>
      <c r="L10" s="4" t="s">
        <v>15</v>
      </c>
      <c r="M10" s="4" t="s">
        <v>16</v>
      </c>
      <c r="N10" s="4" t="s">
        <v>17</v>
      </c>
      <c r="O10" s="4" t="s">
        <v>21</v>
      </c>
      <c r="P10" s="5"/>
      <c r="Q10" s="8" t="s">
        <v>20</v>
      </c>
      <c r="R10" s="1"/>
      <c r="S10" s="1"/>
    </row>
    <row r="11" spans="1:19">
      <c r="A11" s="3" t="s">
        <v>28</v>
      </c>
      <c r="B11" s="3">
        <v>693</v>
      </c>
      <c r="C11" s="3">
        <v>945</v>
      </c>
      <c r="D11" s="3">
        <f>(C11/B11)/(C19/B19)</f>
        <v>0.97962162465614999</v>
      </c>
      <c r="E11" s="6" t="e">
        <f>#REF!</f>
        <v>#REF!</v>
      </c>
      <c r="F11" s="6">
        <v>3.7</v>
      </c>
      <c r="G11" s="6">
        <f>'[1]2025 год 2 чт '!$U$19</f>
        <v>104.25236389684817</v>
      </c>
      <c r="H11" s="6">
        <f>'[1]2025 год 2 чт '!$AA$19</f>
        <v>172.73553008595991</v>
      </c>
      <c r="I11" s="6">
        <v>0</v>
      </c>
      <c r="J11" s="20" t="e">
        <f>#REF!</f>
        <v>#REF!</v>
      </c>
      <c r="K11" s="6" t="e">
        <f t="shared" ref="K11:K17" si="0">SUM(E11:J11)</f>
        <v>#REF!</v>
      </c>
      <c r="L11" s="3" t="e">
        <f>(K11/B11)/(K19/B19)</f>
        <v>#REF!</v>
      </c>
      <c r="M11" s="3">
        <v>1.4152302000000001</v>
      </c>
      <c r="N11" s="13" t="e">
        <f>B11*L11*(C19/B19)*(M11-D11)</f>
        <v>#REF!</v>
      </c>
      <c r="O11" s="22" t="e">
        <f>N11</f>
        <v>#REF!</v>
      </c>
      <c r="P11" s="3"/>
      <c r="Q11" s="12" t="e">
        <f>D11+N11/(L11*B11*(C19/B19))</f>
        <v>#REF!</v>
      </c>
      <c r="R11" s="1"/>
      <c r="S11" s="1"/>
    </row>
    <row r="12" spans="1:19">
      <c r="A12" s="3" t="s">
        <v>29</v>
      </c>
      <c r="B12" s="3">
        <v>823</v>
      </c>
      <c r="C12" s="21">
        <v>900</v>
      </c>
      <c r="D12" s="3">
        <f>(C12/B12)/(C19/B19)</f>
        <v>0.78560178891015686</v>
      </c>
      <c r="E12" s="6" t="e">
        <f>#REF!</f>
        <v>#REF!</v>
      </c>
      <c r="F12" s="6">
        <v>4.4000000000000004</v>
      </c>
      <c r="G12" s="6">
        <f>'[1]2025 год 2 чт '!$U$20</f>
        <v>123.80908439697841</v>
      </c>
      <c r="H12" s="6">
        <v>0</v>
      </c>
      <c r="I12" s="6"/>
      <c r="J12" s="20" t="e">
        <f>#REF!</f>
        <v>#REF!</v>
      </c>
      <c r="K12" s="6" t="e">
        <f t="shared" si="0"/>
        <v>#REF!</v>
      </c>
      <c r="L12" s="3" t="e">
        <f>(K12/B12)/(K19/B19)</f>
        <v>#REF!</v>
      </c>
      <c r="M12" s="3">
        <v>1.4152302000000001</v>
      </c>
      <c r="N12" s="13" t="e">
        <f>B12*L12*(C19/B19)*(M12-D12)</f>
        <v>#REF!</v>
      </c>
      <c r="O12" s="22" t="e">
        <f t="shared" ref="O12:O18" si="1">N12</f>
        <v>#REF!</v>
      </c>
      <c r="P12" s="3"/>
      <c r="Q12" s="12" t="e">
        <f>D12+N12/(L12*B12*(C19/B19))</f>
        <v>#REF!</v>
      </c>
      <c r="R12" s="1"/>
      <c r="S12" s="1"/>
    </row>
    <row r="13" spans="1:19">
      <c r="A13" s="3" t="s">
        <v>30</v>
      </c>
      <c r="B13" s="3">
        <v>413</v>
      </c>
      <c r="C13" s="21">
        <v>845</v>
      </c>
      <c r="D13" s="3">
        <f>(C13/B13)/(C19/B19)</f>
        <v>1.4698277645163702</v>
      </c>
      <c r="E13" s="6" t="e">
        <f>#REF!</f>
        <v>#REF!</v>
      </c>
      <c r="F13" s="6">
        <v>2.2000000000000002</v>
      </c>
      <c r="G13" s="6">
        <f>'[1]2025 год 2 чт '!$U$21</f>
        <v>62.130196665798401</v>
      </c>
      <c r="H13" s="6">
        <f>'[1]2025 год 2 чт '!$AA$21</f>
        <v>102.9433967178953</v>
      </c>
      <c r="I13" s="6"/>
      <c r="J13" s="20" t="e">
        <f>#REF!</f>
        <v>#REF!</v>
      </c>
      <c r="K13" s="6" t="e">
        <f t="shared" si="0"/>
        <v>#REF!</v>
      </c>
      <c r="L13" s="3" t="e">
        <f>(K13/B13)/(K19/B19)</f>
        <v>#REF!</v>
      </c>
      <c r="M13" s="3">
        <v>1.4152302000000001</v>
      </c>
      <c r="N13" s="13" t="e">
        <f>B13*L13*(C19/B19)*(M13-D13)</f>
        <v>#REF!</v>
      </c>
      <c r="O13" s="22">
        <v>0</v>
      </c>
      <c r="P13" s="3"/>
      <c r="Q13" s="12" t="e">
        <f>D13+N13/(L13*B13*C19/B19)</f>
        <v>#REF!</v>
      </c>
      <c r="R13" s="1"/>
      <c r="S13" s="1"/>
    </row>
    <row r="14" spans="1:19">
      <c r="A14" s="3" t="s">
        <v>31</v>
      </c>
      <c r="B14" s="3">
        <v>462</v>
      </c>
      <c r="C14" s="21">
        <v>747</v>
      </c>
      <c r="D14" s="3">
        <f>(C14/B14)/(C19/B19)</f>
        <v>1.161551354949435</v>
      </c>
      <c r="E14" s="6" t="e">
        <f>#REF!</f>
        <v>#REF!</v>
      </c>
      <c r="F14" s="6">
        <v>2.5</v>
      </c>
      <c r="G14" s="6">
        <f>'[1]2025 год 2 чт '!$U$22</f>
        <v>69.501575931232111</v>
      </c>
      <c r="H14" s="6">
        <f>'[1]2025 год 2 чт '!$AA$22</f>
        <v>115.1570200573066</v>
      </c>
      <c r="I14" s="6"/>
      <c r="J14" s="20" t="e">
        <f>#REF!</f>
        <v>#REF!</v>
      </c>
      <c r="K14" s="6" t="e">
        <f t="shared" si="0"/>
        <v>#REF!</v>
      </c>
      <c r="L14" s="3" t="e">
        <f>(K14/B14)/(K19/B19)</f>
        <v>#REF!</v>
      </c>
      <c r="M14" s="3">
        <v>1.4152302000000001</v>
      </c>
      <c r="N14" s="13" t="e">
        <f>B14*L14*(C19/B19)*(M14-D14)</f>
        <v>#REF!</v>
      </c>
      <c r="O14" s="22" t="e">
        <f t="shared" si="1"/>
        <v>#REF!</v>
      </c>
      <c r="P14" s="3"/>
      <c r="Q14" s="12" t="e">
        <f>D14+N14/(L14*B14*C19/B19)</f>
        <v>#REF!</v>
      </c>
      <c r="R14" s="1"/>
      <c r="S14" s="1"/>
    </row>
    <row r="15" spans="1:19">
      <c r="A15" s="3" t="s">
        <v>32</v>
      </c>
      <c r="B15" s="3">
        <v>457</v>
      </c>
      <c r="C15" s="3">
        <v>930</v>
      </c>
      <c r="D15" s="3">
        <f>(C15/B15)/(C19/B19)</f>
        <v>1.4619298643665084</v>
      </c>
      <c r="E15" s="6" t="e">
        <f>#REF!</f>
        <v>#REF!</v>
      </c>
      <c r="F15" s="6">
        <v>2.5</v>
      </c>
      <c r="G15" s="6">
        <f>'[1]2025 год 2 чт '!$U$23</f>
        <v>68.749394373534784</v>
      </c>
      <c r="H15" s="6">
        <f>'[1]2025 год 2 чт '!$AA$23</f>
        <v>113.91073196144831</v>
      </c>
      <c r="I15" s="6"/>
      <c r="J15" s="20" t="e">
        <f>#REF!</f>
        <v>#REF!</v>
      </c>
      <c r="K15" s="6" t="e">
        <f t="shared" si="0"/>
        <v>#REF!</v>
      </c>
      <c r="L15" s="3" t="e">
        <f>(K15/B15)/(K19/B19)</f>
        <v>#REF!</v>
      </c>
      <c r="M15" s="3">
        <v>1.4152302000000001</v>
      </c>
      <c r="N15" s="13" t="e">
        <f>B15*L15*(C19/B19)*(M15-D15)</f>
        <v>#REF!</v>
      </c>
      <c r="O15" s="22">
        <v>0</v>
      </c>
      <c r="P15" s="3"/>
      <c r="Q15" s="12" t="e">
        <f>D15+N15/(L15*B15*C19/B19)</f>
        <v>#REF!</v>
      </c>
      <c r="R15" s="1"/>
      <c r="S15" s="1"/>
    </row>
    <row r="16" spans="1:19">
      <c r="A16" s="3" t="s">
        <v>33</v>
      </c>
      <c r="B16" s="3">
        <v>1054</v>
      </c>
      <c r="C16" s="3">
        <v>920</v>
      </c>
      <c r="D16" s="3">
        <f>(C16/B16)/(C19/B19)</f>
        <v>0.62705697922329151</v>
      </c>
      <c r="E16" s="6" t="e">
        <f>#REF!</f>
        <v>#REF!</v>
      </c>
      <c r="F16" s="6">
        <v>5.7</v>
      </c>
      <c r="G16" s="6">
        <f>'[1]2025 год 2 чт '!$U$24</f>
        <v>158.55987236259446</v>
      </c>
      <c r="H16" s="6">
        <f>'[1]2025 год 2 чт '!$AA$24</f>
        <v>262.7175306069289</v>
      </c>
      <c r="I16" s="6"/>
      <c r="J16" s="20" t="e">
        <f>#REF!</f>
        <v>#REF!</v>
      </c>
      <c r="K16" s="6" t="e">
        <f t="shared" si="0"/>
        <v>#REF!</v>
      </c>
      <c r="L16" s="3" t="e">
        <f>(K16/B16)/(K19/B19)</f>
        <v>#REF!</v>
      </c>
      <c r="M16" s="3">
        <v>1.4152302000000001</v>
      </c>
      <c r="N16" s="13" t="e">
        <f>B16*L16*(C19/B19)*(M16-D16)</f>
        <v>#REF!</v>
      </c>
      <c r="O16" s="22" t="e">
        <f t="shared" si="1"/>
        <v>#REF!</v>
      </c>
      <c r="P16" s="3"/>
      <c r="Q16" s="12" t="e">
        <f>D16+N16/(L16*B16*C19/B19)</f>
        <v>#REF!</v>
      </c>
      <c r="R16" s="1"/>
      <c r="S16" s="1"/>
    </row>
    <row r="17" spans="1:19">
      <c r="A17" s="3" t="s">
        <v>34</v>
      </c>
      <c r="B17" s="3">
        <v>519</v>
      </c>
      <c r="C17" s="3">
        <v>795</v>
      </c>
      <c r="D17" s="3">
        <f>(C17/B17)/(C19/B19)</f>
        <v>1.1004227498545962</v>
      </c>
      <c r="E17" s="6" t="e">
        <f>#REF!</f>
        <v>#REF!</v>
      </c>
      <c r="F17" s="6">
        <v>2.8</v>
      </c>
      <c r="G17" s="6">
        <f>'[1]2025 год 2 чт '!$U$25</f>
        <v>78.076445688981522</v>
      </c>
      <c r="H17" s="6">
        <f>'[1]2025 год 2 чт '!$AA$25</f>
        <v>0</v>
      </c>
      <c r="I17" s="6"/>
      <c r="J17" s="20" t="e">
        <f>#REF!</f>
        <v>#REF!</v>
      </c>
      <c r="K17" s="6" t="e">
        <f t="shared" si="0"/>
        <v>#REF!</v>
      </c>
      <c r="L17" s="3" t="e">
        <f>(K17/B17)/(K19/B19)</f>
        <v>#REF!</v>
      </c>
      <c r="M17" s="3">
        <v>1.4152302000000001</v>
      </c>
      <c r="N17" s="13" t="e">
        <f>B17*L17*(C19/B19)*(M17-D17)</f>
        <v>#REF!</v>
      </c>
      <c r="O17" s="22" t="e">
        <f t="shared" si="1"/>
        <v>#REF!</v>
      </c>
      <c r="P17" s="3"/>
      <c r="Q17" s="12" t="e">
        <f>D17+N17/(L17*B17*C19/B19)</f>
        <v>#REF!</v>
      </c>
      <c r="R17" s="1"/>
      <c r="S17" s="1"/>
    </row>
    <row r="18" spans="1:19">
      <c r="A18" s="3" t="s">
        <v>35</v>
      </c>
      <c r="B18" s="3">
        <v>3257</v>
      </c>
      <c r="C18" s="3">
        <v>4605.8</v>
      </c>
      <c r="D18" s="3">
        <f>(C18/B18)/(C19/B19)</f>
        <v>1.0158909848992785</v>
      </c>
      <c r="E18" s="6" t="e">
        <f>#REF!</f>
        <v>#REF!</v>
      </c>
      <c r="F18" s="6">
        <v>17.5</v>
      </c>
      <c r="G18" s="6">
        <f>'[1]2025 год 2 чт '!$U$26</f>
        <v>489.97106668403239</v>
      </c>
      <c r="H18" s="6">
        <f>'[1]2025 год 2 чт '!$AA$26</f>
        <v>811.83206564209434</v>
      </c>
      <c r="I18" s="6">
        <f>'[1]2025 год 2 чт '!$AH$260</f>
        <v>0</v>
      </c>
      <c r="J18" s="20" t="e">
        <f>#REF!</f>
        <v>#REF!</v>
      </c>
      <c r="K18" s="6" t="e">
        <f>SUM(E18:J18)</f>
        <v>#REF!</v>
      </c>
      <c r="L18" s="3" t="e">
        <f>(K18/B18)/(K19/B19)</f>
        <v>#REF!</v>
      </c>
      <c r="M18" s="3">
        <v>1.4152302000000001</v>
      </c>
      <c r="N18" s="13" t="e">
        <f>B18*L18*(C19/B19)*(M18-D18)</f>
        <v>#REF!</v>
      </c>
      <c r="O18" s="22" t="e">
        <f t="shared" si="1"/>
        <v>#REF!</v>
      </c>
      <c r="P18" s="3"/>
      <c r="Q18" s="12" t="e">
        <f>D18+N18/(L18*B18*C19/B19)</f>
        <v>#REF!</v>
      </c>
      <c r="R18" s="1"/>
      <c r="S18" s="1"/>
    </row>
    <row r="19" spans="1:19">
      <c r="A19" s="3" t="s">
        <v>8</v>
      </c>
      <c r="B19" s="3">
        <f>SUM(B11:B18)</f>
        <v>7678</v>
      </c>
      <c r="C19" s="3">
        <f>SUM(C11:C18)</f>
        <v>10687.8</v>
      </c>
      <c r="D19" s="3"/>
      <c r="E19" s="3" t="e">
        <f t="shared" ref="E19:K19" si="2">SUM(E11:E18)</f>
        <v>#REF!</v>
      </c>
      <c r="F19" s="3">
        <f t="shared" si="2"/>
        <v>41.3</v>
      </c>
      <c r="G19" s="3">
        <f t="shared" si="2"/>
        <v>1155.0500000000002</v>
      </c>
      <c r="H19" s="3">
        <f t="shared" si="2"/>
        <v>1579.2962750716333</v>
      </c>
      <c r="I19" s="3">
        <f t="shared" si="2"/>
        <v>0</v>
      </c>
      <c r="J19" s="21" t="e">
        <f t="shared" si="2"/>
        <v>#REF!</v>
      </c>
      <c r="K19" s="3" t="e">
        <f t="shared" si="2"/>
        <v>#REF!</v>
      </c>
      <c r="L19" s="3"/>
      <c r="M19" s="3"/>
      <c r="N19" s="11" t="e">
        <f>SUM(N11:N18)</f>
        <v>#REF!</v>
      </c>
      <c r="O19" s="22" t="e">
        <f>SUM(O11:O18)</f>
        <v>#REF!</v>
      </c>
      <c r="P19" s="3"/>
      <c r="Q19" s="3"/>
      <c r="R19" s="1"/>
      <c r="S19" s="1"/>
    </row>
    <row r="20" spans="1:19" ht="21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7"/>
      <c r="P20" s="1"/>
      <c r="Q20" s="1"/>
      <c r="R20" s="1"/>
      <c r="S20" s="1"/>
    </row>
    <row r="21" spans="1:1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9"/>
      <c r="O21" s="1"/>
      <c r="P21" s="1"/>
      <c r="Q21" s="1"/>
      <c r="R21" s="1"/>
      <c r="S21" s="1"/>
    </row>
    <row r="22" spans="1:1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23">
        <v>4520.2</v>
      </c>
      <c r="P22" s="1"/>
      <c r="Q22" s="1"/>
      <c r="R22" s="1"/>
      <c r="S22" s="1"/>
    </row>
  </sheetData>
  <mergeCells count="2">
    <mergeCell ref="B6:S6"/>
    <mergeCell ref="A7:O7"/>
  </mergeCells>
  <pageMargins left="0.19685039370078741" right="0.19685039370078741" top="0.98425196850393704" bottom="0.98425196850393704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2025 год 2 чт   (2)</vt:lpstr>
      <vt:lpstr>2026 год 2 чт  </vt:lpstr>
      <vt:lpstr>2025 год 2 чт  </vt:lpstr>
      <vt:lpstr>2026 год 2 чт  (3)</vt:lpstr>
      <vt:lpstr>2026 год 2 чт  (2)</vt:lpstr>
      <vt:lpstr>2025 год 2 чт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ИКТ</cp:lastModifiedBy>
  <cp:lastPrinted>2025-12-16T07:29:26Z</cp:lastPrinted>
  <dcterms:created xsi:type="dcterms:W3CDTF">2009-11-06T07:23:43Z</dcterms:created>
  <dcterms:modified xsi:type="dcterms:W3CDTF">2025-12-19T08:49:46Z</dcterms:modified>
</cp:coreProperties>
</file>